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eeppande\Desktop\PD Display\"/>
    </mc:Choice>
  </mc:AlternateContent>
  <bookViews>
    <workbookView xWindow="0" yWindow="0" windowWidth="20490" windowHeight="7455" firstSheet="3" activeTab="6"/>
  </bookViews>
  <sheets>
    <sheet name="L2" sheetId="11" r:id="rId1"/>
    <sheet name="L3" sheetId="12" r:id="rId2"/>
    <sheet name="L4" sheetId="5" r:id="rId3"/>
    <sheet name="L5" sheetId="7" r:id="rId4"/>
    <sheet name="L6" sheetId="8" r:id="rId5"/>
    <sheet name="L7" sheetId="6" r:id="rId6"/>
    <sheet name="L16" sheetId="15" r:id="rId7"/>
    <sheet name="L32" sheetId="9" r:id="rId8"/>
    <sheet name="L33" sheetId="13" r:id="rId9"/>
    <sheet name="L37FPI" sheetId="1" r:id="rId10"/>
    <sheet name="L37Lives" sheetId="2" r:id="rId11"/>
    <sheet name="L38 FPI" sheetId="4" r:id="rId12"/>
    <sheet name="L38 NOP" sheetId="3" r:id="rId13"/>
    <sheet name="L39" sheetId="14" r:id="rId14"/>
    <sheet name="L40" sheetId="10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24" i="15" l="1"/>
  <c r="CA24" i="15" s="1"/>
  <c r="BT24" i="15"/>
  <c r="BZ24" i="15" s="1"/>
  <c r="BS24" i="15"/>
  <c r="BY24" i="15" s="1"/>
  <c r="BK23" i="15"/>
  <c r="BJ23" i="15"/>
  <c r="BD23" i="15"/>
  <c r="BA23" i="15"/>
  <c r="AY23" i="15"/>
  <c r="AV23" i="15"/>
  <c r="AS23" i="15"/>
  <c r="AR23" i="15"/>
  <c r="AJ23" i="15"/>
  <c r="AI23" i="15"/>
  <c r="AF23" i="15"/>
  <c r="AC23" i="15"/>
  <c r="AA23" i="15"/>
  <c r="X23" i="15"/>
  <c r="U23" i="15"/>
  <c r="T23" i="15"/>
  <c r="L23" i="15"/>
  <c r="K23" i="15"/>
  <c r="H23" i="15"/>
  <c r="E23" i="15"/>
  <c r="D23" i="15"/>
  <c r="C23" i="15"/>
  <c r="B23" i="15"/>
  <c r="BX22" i="15"/>
  <c r="BU22" i="15"/>
  <c r="CA22" i="15" s="1"/>
  <c r="BT22" i="15"/>
  <c r="BZ22" i="15" s="1"/>
  <c r="BS22" i="15"/>
  <c r="BY22" i="15" s="1"/>
  <c r="BO22" i="15"/>
  <c r="BL22" i="15"/>
  <c r="AQ22" i="15"/>
  <c r="M22" i="15"/>
  <c r="BQ21" i="15"/>
  <c r="BQ23" i="15" s="1"/>
  <c r="BP21" i="15"/>
  <c r="BP23" i="15" s="1"/>
  <c r="BN21" i="15"/>
  <c r="BN23" i="15" s="1"/>
  <c r="BM21" i="15"/>
  <c r="BM23" i="15" s="1"/>
  <c r="BK21" i="15"/>
  <c r="BJ21" i="15"/>
  <c r="BF21" i="15"/>
  <c r="BF23" i="15" s="1"/>
  <c r="BE21" i="15"/>
  <c r="BE23" i="15" s="1"/>
  <c r="BD21" i="15"/>
  <c r="BB21" i="15"/>
  <c r="BB23" i="15" s="1"/>
  <c r="BA21" i="15"/>
  <c r="AY21" i="15"/>
  <c r="AX21" i="15"/>
  <c r="AX23" i="15" s="1"/>
  <c r="AV21" i="15"/>
  <c r="AU21" i="15"/>
  <c r="AU23" i="15" s="1"/>
  <c r="AS21" i="15"/>
  <c r="AR21" i="15"/>
  <c r="AP21" i="15"/>
  <c r="AP23" i="15" s="1"/>
  <c r="AO21" i="15"/>
  <c r="AO23" i="15" s="1"/>
  <c r="AM21" i="15"/>
  <c r="AM23" i="15" s="1"/>
  <c r="AL21" i="15"/>
  <c r="AL23" i="15" s="1"/>
  <c r="AJ21" i="15"/>
  <c r="AI21" i="15"/>
  <c r="AG21" i="15"/>
  <c r="AG23" i="15" s="1"/>
  <c r="AF21" i="15"/>
  <c r="AD21" i="15"/>
  <c r="AD23" i="15" s="1"/>
  <c r="AC21" i="15"/>
  <c r="AA21" i="15"/>
  <c r="Z21" i="15"/>
  <c r="Z23" i="15" s="1"/>
  <c r="X21" i="15"/>
  <c r="W21" i="15"/>
  <c r="W23" i="15" s="1"/>
  <c r="U21" i="15"/>
  <c r="T21" i="15"/>
  <c r="R21" i="15"/>
  <c r="R23" i="15" s="1"/>
  <c r="Q21" i="15"/>
  <c r="Q23" i="15" s="1"/>
  <c r="O21" i="15"/>
  <c r="O23" i="15" s="1"/>
  <c r="N21" i="15"/>
  <c r="N23" i="15" s="1"/>
  <c r="L21" i="15"/>
  <c r="K21" i="15"/>
  <c r="BS21" i="15" s="1"/>
  <c r="I21" i="15"/>
  <c r="I23" i="15" s="1"/>
  <c r="H21" i="15"/>
  <c r="G21" i="15"/>
  <c r="G23" i="15" s="1"/>
  <c r="F21" i="15"/>
  <c r="F23" i="15" s="1"/>
  <c r="E21" i="15"/>
  <c r="D21" i="15"/>
  <c r="C21" i="15"/>
  <c r="BT21" i="15" s="1"/>
  <c r="BZ21" i="15" s="1"/>
  <c r="BZ20" i="15"/>
  <c r="BW20" i="15"/>
  <c r="BV20" i="15"/>
  <c r="BX20" i="15" s="1"/>
  <c r="CA20" i="15" s="1"/>
  <c r="BU20" i="15"/>
  <c r="BT20" i="15"/>
  <c r="BS20" i="15"/>
  <c r="BY20" i="15" s="1"/>
  <c r="BW19" i="15"/>
  <c r="BW21" i="15" s="1"/>
  <c r="BW23" i="15" s="1"/>
  <c r="BV19" i="15"/>
  <c r="BX19" i="15" s="1"/>
  <c r="CA19" i="15" s="1"/>
  <c r="BU19" i="15"/>
  <c r="BT19" i="15"/>
  <c r="BZ19" i="15" s="1"/>
  <c r="BS19" i="15"/>
  <c r="BY19" i="15" s="1"/>
  <c r="AK19" i="15"/>
  <c r="S19" i="15"/>
  <c r="M19" i="15"/>
  <c r="BZ18" i="15"/>
  <c r="BY18" i="15"/>
  <c r="BU18" i="15"/>
  <c r="CA18" i="15" s="1"/>
  <c r="BT18" i="15"/>
  <c r="BS18" i="15"/>
  <c r="BO18" i="15"/>
  <c r="AK18" i="15"/>
  <c r="S18" i="15"/>
  <c r="M18" i="15"/>
  <c r="BZ17" i="15"/>
  <c r="BT17" i="15"/>
  <c r="BS17" i="15"/>
  <c r="BY17" i="15" s="1"/>
  <c r="BO17" i="15"/>
  <c r="BL17" i="15"/>
  <c r="AN17" i="15"/>
  <c r="AK17" i="15"/>
  <c r="S17" i="15"/>
  <c r="P17" i="15"/>
  <c r="BU17" i="15" s="1"/>
  <c r="CA17" i="15" s="1"/>
  <c r="M17" i="15"/>
  <c r="BZ16" i="15"/>
  <c r="BY16" i="15"/>
  <c r="BT16" i="15"/>
  <c r="BS16" i="15"/>
  <c r="BO16" i="15"/>
  <c r="BL16" i="15"/>
  <c r="AN16" i="15"/>
  <c r="AK16" i="15"/>
  <c r="S16" i="15"/>
  <c r="P16" i="15"/>
  <c r="M16" i="15"/>
  <c r="J16" i="15"/>
  <c r="BU16" i="15" s="1"/>
  <c r="CA16" i="15" s="1"/>
  <c r="BZ15" i="15"/>
  <c r="BY15" i="15"/>
  <c r="BT15" i="15"/>
  <c r="BS15" i="15"/>
  <c r="BR15" i="15"/>
  <c r="BO15" i="15"/>
  <c r="BL15" i="15"/>
  <c r="AW15" i="15"/>
  <c r="AQ15" i="15"/>
  <c r="AN15" i="15"/>
  <c r="AK15" i="15"/>
  <c r="AH15" i="15"/>
  <c r="AE15" i="15"/>
  <c r="AB15" i="15"/>
  <c r="Y15" i="15"/>
  <c r="V15" i="15"/>
  <c r="S15" i="15"/>
  <c r="P15" i="15"/>
  <c r="BU15" i="15" s="1"/>
  <c r="CA15" i="15" s="1"/>
  <c r="M15" i="15"/>
  <c r="J15" i="15"/>
  <c r="BY14" i="15"/>
  <c r="BX14" i="15"/>
  <c r="BT14" i="15"/>
  <c r="BZ14" i="15" s="1"/>
  <c r="BS14" i="15"/>
  <c r="BR14" i="15"/>
  <c r="BO14" i="15"/>
  <c r="BL14" i="15"/>
  <c r="BC14" i="15"/>
  <c r="AZ14" i="15"/>
  <c r="AW14" i="15"/>
  <c r="AT14" i="15"/>
  <c r="AQ14" i="15"/>
  <c r="AN14" i="15"/>
  <c r="AK14" i="15"/>
  <c r="AH14" i="15"/>
  <c r="AE14" i="15"/>
  <c r="AB14" i="15"/>
  <c r="Y14" i="15"/>
  <c r="V14" i="15"/>
  <c r="BU14" i="15" s="1"/>
  <c r="CA14" i="15" s="1"/>
  <c r="S14" i="15"/>
  <c r="P14" i="15"/>
  <c r="M14" i="15"/>
  <c r="J14" i="15"/>
  <c r="BZ13" i="15"/>
  <c r="BY13" i="15"/>
  <c r="BX13" i="15"/>
  <c r="BT13" i="15"/>
  <c r="BS13" i="15"/>
  <c r="BR13" i="15"/>
  <c r="BO13" i="15"/>
  <c r="BL13" i="15"/>
  <c r="BC13" i="15"/>
  <c r="AZ13" i="15"/>
  <c r="AW13" i="15"/>
  <c r="AT13" i="15"/>
  <c r="AQ13" i="15"/>
  <c r="AN13" i="15"/>
  <c r="AK13" i="15"/>
  <c r="AE13" i="15"/>
  <c r="AB13" i="15"/>
  <c r="Y13" i="15"/>
  <c r="V13" i="15"/>
  <c r="S13" i="15"/>
  <c r="P13" i="15"/>
  <c r="M13" i="15"/>
  <c r="J13" i="15"/>
  <c r="BU13" i="15" s="1"/>
  <c r="CA13" i="15" s="1"/>
  <c r="BZ12" i="15"/>
  <c r="BX12" i="15"/>
  <c r="BT12" i="15"/>
  <c r="BR12" i="15"/>
  <c r="BO12" i="15"/>
  <c r="BL12" i="15"/>
  <c r="BC12" i="15"/>
  <c r="AY12" i="15"/>
  <c r="AX12" i="15"/>
  <c r="AZ12" i="15" s="1"/>
  <c r="AW12" i="15"/>
  <c r="AT12" i="15"/>
  <c r="AQ12" i="15"/>
  <c r="AN12" i="15"/>
  <c r="AK12" i="15"/>
  <c r="AH12" i="15"/>
  <c r="AE12" i="15"/>
  <c r="AB12" i="15"/>
  <c r="Y12" i="15"/>
  <c r="V12" i="15"/>
  <c r="S12" i="15"/>
  <c r="P12" i="15"/>
  <c r="J12" i="15"/>
  <c r="BX11" i="15"/>
  <c r="BT11" i="15"/>
  <c r="BZ11" i="15" s="1"/>
  <c r="BS11" i="15"/>
  <c r="BY11" i="15" s="1"/>
  <c r="BR11" i="15"/>
  <c r="BR21" i="15" s="1"/>
  <c r="BR23" i="15" s="1"/>
  <c r="BO11" i="15"/>
  <c r="BL11" i="15"/>
  <c r="BC11" i="15"/>
  <c r="AZ11" i="15"/>
  <c r="AW11" i="15"/>
  <c r="AT11" i="15"/>
  <c r="AQ11" i="15"/>
  <c r="AN11" i="15"/>
  <c r="AK11" i="15"/>
  <c r="AH11" i="15"/>
  <c r="AE11" i="15"/>
  <c r="AB11" i="15"/>
  <c r="Y11" i="15"/>
  <c r="V11" i="15"/>
  <c r="S11" i="15"/>
  <c r="P11" i="15"/>
  <c r="BU11" i="15" s="1"/>
  <c r="CA11" i="15" s="1"/>
  <c r="J11" i="15"/>
  <c r="BX10" i="15"/>
  <c r="BT10" i="15"/>
  <c r="BZ10" i="15" s="1"/>
  <c r="BS10" i="15"/>
  <c r="BY10" i="15" s="1"/>
  <c r="BR10" i="15"/>
  <c r="BO10" i="15"/>
  <c r="BL10" i="15"/>
  <c r="BC10" i="15"/>
  <c r="AZ10" i="15"/>
  <c r="AW10" i="15"/>
  <c r="AQ10" i="15"/>
  <c r="AN10" i="15"/>
  <c r="AK10" i="15"/>
  <c r="AH10" i="15"/>
  <c r="AE10" i="15"/>
  <c r="AB10" i="15"/>
  <c r="Y10" i="15"/>
  <c r="V10" i="15"/>
  <c r="S10" i="15"/>
  <c r="P10" i="15"/>
  <c r="BU10" i="15" s="1"/>
  <c r="CA10" i="15" s="1"/>
  <c r="M10" i="15"/>
  <c r="J10" i="15"/>
  <c r="BY9" i="15"/>
  <c r="BX9" i="15"/>
  <c r="BT9" i="15"/>
  <c r="BZ9" i="15" s="1"/>
  <c r="BS9" i="15"/>
  <c r="BR9" i="15"/>
  <c r="BO9" i="15"/>
  <c r="BL9" i="15"/>
  <c r="BC9" i="15"/>
  <c r="AZ9" i="15"/>
  <c r="AW9" i="15"/>
  <c r="AQ9" i="15"/>
  <c r="AQ21" i="15" s="1"/>
  <c r="AQ23" i="15" s="1"/>
  <c r="AN9" i="15"/>
  <c r="AK9" i="15"/>
  <c r="AH9" i="15"/>
  <c r="AE9" i="15"/>
  <c r="AB9" i="15"/>
  <c r="Y9" i="15"/>
  <c r="V9" i="15"/>
  <c r="S9" i="15"/>
  <c r="S21" i="15" s="1"/>
  <c r="S23" i="15" s="1"/>
  <c r="P9" i="15"/>
  <c r="M9" i="15"/>
  <c r="J9" i="15"/>
  <c r="BZ8" i="15"/>
  <c r="BY8" i="15"/>
  <c r="BX8" i="15"/>
  <c r="BT8" i="15"/>
  <c r="BS8" i="15"/>
  <c r="BR8" i="15"/>
  <c r="BO8" i="15"/>
  <c r="BL8" i="15"/>
  <c r="BC8" i="15"/>
  <c r="AZ8" i="15"/>
  <c r="AW8" i="15"/>
  <c r="AW21" i="15" s="1"/>
  <c r="AW23" i="15" s="1"/>
  <c r="AQ8" i="15"/>
  <c r="AN8" i="15"/>
  <c r="AK8" i="15"/>
  <c r="AH8" i="15"/>
  <c r="AE8" i="15"/>
  <c r="AB8" i="15"/>
  <c r="Y8" i="15"/>
  <c r="V8" i="15"/>
  <c r="BU8" i="15" s="1"/>
  <c r="CA8" i="15" s="1"/>
  <c r="S8" i="15"/>
  <c r="P8" i="15"/>
  <c r="M8" i="15"/>
  <c r="J8" i="15"/>
  <c r="BZ7" i="15"/>
  <c r="BY7" i="15"/>
  <c r="BX7" i="15"/>
  <c r="BT7" i="15"/>
  <c r="BS7" i="15"/>
  <c r="BR7" i="15"/>
  <c r="BO7" i="15"/>
  <c r="BL7" i="15"/>
  <c r="BC7" i="15"/>
  <c r="AZ7" i="15"/>
  <c r="AW7" i="15"/>
  <c r="AQ7" i="15"/>
  <c r="AN7" i="15"/>
  <c r="AK7" i="15"/>
  <c r="AH7" i="15"/>
  <c r="AE7" i="15"/>
  <c r="AB7" i="15"/>
  <c r="AB21" i="15" s="1"/>
  <c r="AB23" i="15" s="1"/>
  <c r="Y7" i="15"/>
  <c r="Y21" i="15" s="1"/>
  <c r="Y23" i="15" s="1"/>
  <c r="V7" i="15"/>
  <c r="S7" i="15"/>
  <c r="P7" i="15"/>
  <c r="M7" i="15"/>
  <c r="J7" i="15"/>
  <c r="BU7" i="15" s="1"/>
  <c r="CA7" i="15" s="1"/>
  <c r="BZ6" i="15"/>
  <c r="BY6" i="15"/>
  <c r="BX6" i="15"/>
  <c r="BT6" i="15"/>
  <c r="BS6" i="15"/>
  <c r="BR6" i="15"/>
  <c r="BO6" i="15"/>
  <c r="BO21" i="15" s="1"/>
  <c r="BO23" i="15" s="1"/>
  <c r="BL6" i="15"/>
  <c r="BL21" i="15" s="1"/>
  <c r="BL23" i="15" s="1"/>
  <c r="BC6" i="15"/>
  <c r="BC21" i="15" s="1"/>
  <c r="BC23" i="15" s="1"/>
  <c r="AZ6" i="15"/>
  <c r="AW6" i="15"/>
  <c r="AT6" i="15"/>
  <c r="AT21" i="15" s="1"/>
  <c r="AT23" i="15" s="1"/>
  <c r="AQ6" i="15"/>
  <c r="AN6" i="15"/>
  <c r="AN21" i="15" s="1"/>
  <c r="AN23" i="15" s="1"/>
  <c r="AK6" i="15"/>
  <c r="AK21" i="15" s="1"/>
  <c r="AK23" i="15" s="1"/>
  <c r="AH6" i="15"/>
  <c r="AH21" i="15" s="1"/>
  <c r="AH23" i="15" s="1"/>
  <c r="AE6" i="15"/>
  <c r="AE21" i="15" s="1"/>
  <c r="AE23" i="15" s="1"/>
  <c r="AB6" i="15"/>
  <c r="Y6" i="15"/>
  <c r="V6" i="15"/>
  <c r="V21" i="15" s="1"/>
  <c r="V23" i="15" s="1"/>
  <c r="S6" i="15"/>
  <c r="P6" i="15"/>
  <c r="P21" i="15" s="1"/>
  <c r="P23" i="15" s="1"/>
  <c r="M6" i="15"/>
  <c r="J6" i="15"/>
  <c r="BU6" i="15" s="1"/>
  <c r="CA6" i="15" s="1"/>
  <c r="M5" i="15"/>
  <c r="M21" i="15" s="1"/>
  <c r="M23" i="15" s="1"/>
  <c r="AZ21" i="15" l="1"/>
  <c r="AZ23" i="15" s="1"/>
  <c r="BU23" i="15"/>
  <c r="BS23" i="15"/>
  <c r="BX21" i="15"/>
  <c r="BX23" i="15" s="1"/>
  <c r="BU12" i="15"/>
  <c r="CA12" i="15" s="1"/>
  <c r="BY21" i="15"/>
  <c r="BT23" i="15"/>
  <c r="BZ23" i="15" s="1"/>
  <c r="BU9" i="15"/>
  <c r="CA9" i="15" s="1"/>
  <c r="BS12" i="15"/>
  <c r="BY12" i="15" s="1"/>
  <c r="J21" i="15"/>
  <c r="J23" i="15" s="1"/>
  <c r="BV21" i="15"/>
  <c r="BV23" i="15" s="1"/>
  <c r="GJ12" i="14"/>
  <c r="GB12" i="14"/>
  <c r="FT12" i="14"/>
  <c r="FL12" i="14"/>
  <c r="EV12" i="14"/>
  <c r="EN12" i="14"/>
  <c r="EF12" i="14"/>
  <c r="DX12" i="14"/>
  <c r="DP12" i="14"/>
  <c r="DH12" i="14"/>
  <c r="CZ12" i="14"/>
  <c r="CR12" i="14"/>
  <c r="CJ12" i="14"/>
  <c r="GJ11" i="14"/>
  <c r="GB11" i="14"/>
  <c r="FT11" i="14"/>
  <c r="FL11" i="14"/>
  <c r="EV11" i="14"/>
  <c r="EN11" i="14"/>
  <c r="EF11" i="14"/>
  <c r="DX11" i="14"/>
  <c r="DP11" i="14"/>
  <c r="DH11" i="14"/>
  <c r="CZ11" i="14"/>
  <c r="CR11" i="14"/>
  <c r="CJ11" i="14"/>
  <c r="GJ9" i="14"/>
  <c r="GB9" i="14"/>
  <c r="FT9" i="14"/>
  <c r="FL9" i="14"/>
  <c r="EV9" i="14"/>
  <c r="EN9" i="14"/>
  <c r="EF9" i="14"/>
  <c r="DX9" i="14"/>
  <c r="DP9" i="14"/>
  <c r="DH9" i="14"/>
  <c r="CZ9" i="14"/>
  <c r="CR9" i="14"/>
  <c r="CJ9" i="14"/>
  <c r="GJ8" i="14"/>
  <c r="GB8" i="14"/>
  <c r="FT8" i="14"/>
  <c r="FL8" i="14"/>
  <c r="EV8" i="14"/>
  <c r="EN8" i="14"/>
  <c r="EF8" i="14"/>
  <c r="DX8" i="14"/>
  <c r="DP8" i="14"/>
  <c r="DH8" i="14"/>
  <c r="CZ8" i="14"/>
  <c r="CR8" i="14"/>
  <c r="CJ8" i="14"/>
  <c r="GJ7" i="14"/>
  <c r="GB7" i="14"/>
  <c r="FT7" i="14"/>
  <c r="FL7" i="14"/>
  <c r="EV7" i="14"/>
  <c r="EN7" i="14"/>
  <c r="EF7" i="14"/>
  <c r="DX7" i="14"/>
  <c r="DP7" i="14"/>
  <c r="DH7" i="14"/>
  <c r="CZ7" i="14"/>
  <c r="CR7" i="14"/>
  <c r="CJ7" i="14"/>
  <c r="GJ6" i="14"/>
  <c r="GB6" i="14"/>
  <c r="FT6" i="14"/>
  <c r="FL6" i="14"/>
  <c r="EV6" i="14"/>
  <c r="EN6" i="14"/>
  <c r="EF6" i="14"/>
  <c r="DX6" i="14"/>
  <c r="DP6" i="14"/>
  <c r="DH6" i="14"/>
  <c r="CZ6" i="14"/>
  <c r="CR6" i="14"/>
  <c r="CJ6" i="14"/>
  <c r="GJ5" i="14"/>
  <c r="GB5" i="14"/>
  <c r="FT5" i="14"/>
  <c r="FL5" i="14"/>
  <c r="EV5" i="14"/>
  <c r="EN5" i="14"/>
  <c r="EF5" i="14"/>
  <c r="DX5" i="14"/>
  <c r="DP5" i="14"/>
  <c r="DH5" i="14"/>
  <c r="CZ5" i="14"/>
  <c r="CR5" i="14"/>
  <c r="CJ5" i="14"/>
  <c r="DL14" i="13"/>
  <c r="AJ14" i="13"/>
  <c r="DL13" i="13"/>
  <c r="DL12" i="13"/>
  <c r="AJ12" i="13"/>
  <c r="DL11" i="13"/>
  <c r="DF11" i="13"/>
  <c r="DE11" i="13"/>
  <c r="DD11" i="13"/>
  <c r="DC11" i="13"/>
  <c r="DA11" i="13"/>
  <c r="CZ11" i="13"/>
  <c r="CX11" i="13"/>
  <c r="CL11" i="13"/>
  <c r="CK11" i="13"/>
  <c r="CI11" i="13"/>
  <c r="CG11" i="13"/>
  <c r="CD11" i="13"/>
  <c r="CB11" i="13"/>
  <c r="CA11" i="13"/>
  <c r="BZ11" i="13"/>
  <c r="BY11" i="13"/>
  <c r="BW11" i="13"/>
  <c r="BV11" i="13"/>
  <c r="BU11" i="13"/>
  <c r="BT11" i="13"/>
  <c r="BS11" i="13"/>
  <c r="BM11" i="13"/>
  <c r="BL11" i="13"/>
  <c r="BK11" i="13"/>
  <c r="BC11" i="13"/>
  <c r="BB11" i="13"/>
  <c r="BA11" i="13"/>
  <c r="AZ11" i="13"/>
  <c r="AY11" i="13"/>
  <c r="AX11" i="13"/>
  <c r="AW11" i="13"/>
  <c r="AV11" i="13"/>
  <c r="AU11" i="13"/>
  <c r="AS11" i="13"/>
  <c r="AR11" i="13"/>
  <c r="AQ11" i="13"/>
  <c r="AP11" i="13"/>
  <c r="AN11" i="13"/>
  <c r="AM11" i="13"/>
  <c r="AK11" i="13"/>
  <c r="AJ11" i="13"/>
  <c r="AD11" i="13"/>
  <c r="AC11" i="13"/>
  <c r="AA11" i="13"/>
  <c r="Y11" i="13"/>
  <c r="X11" i="13"/>
  <c r="W11" i="13"/>
  <c r="V11" i="13"/>
  <c r="T11" i="13"/>
  <c r="S11" i="13"/>
  <c r="R11" i="13"/>
  <c r="Q11" i="13"/>
  <c r="O11" i="13"/>
  <c r="N11" i="13"/>
  <c r="M11" i="13"/>
  <c r="L11" i="13"/>
  <c r="E11" i="13"/>
  <c r="D11" i="13"/>
  <c r="C11" i="13"/>
  <c r="B11" i="13"/>
  <c r="DL10" i="13"/>
  <c r="BN10" i="13"/>
  <c r="AJ10" i="13"/>
  <c r="DL9" i="13"/>
  <c r="BN9" i="13"/>
  <c r="AJ9" i="13"/>
  <c r="DL8" i="13"/>
  <c r="BN8" i="13"/>
  <c r="AJ8" i="13"/>
  <c r="DL7" i="13"/>
  <c r="DL6" i="13"/>
  <c r="BN6" i="13"/>
  <c r="AJ6" i="13"/>
  <c r="DQ5" i="13"/>
  <c r="DL5" i="13"/>
  <c r="DG5" i="13"/>
  <c r="DG11" i="13" s="1"/>
  <c r="DB5" i="13"/>
  <c r="DB11" i="13" s="1"/>
  <c r="CR5" i="13"/>
  <c r="CM5" i="13"/>
  <c r="CM11" i="13" s="1"/>
  <c r="CH5" i="13"/>
  <c r="CH11" i="13" s="1"/>
  <c r="CC5" i="13"/>
  <c r="CC11" i="13" s="1"/>
  <c r="BX5" i="13"/>
  <c r="BX11" i="13" s="1"/>
  <c r="BN5" i="13"/>
  <c r="BI5" i="13"/>
  <c r="BD5" i="13"/>
  <c r="BD11" i="13" s="1"/>
  <c r="AY5" i="13"/>
  <c r="AT5" i="13"/>
  <c r="AT11" i="13" s="1"/>
  <c r="AO5" i="13"/>
  <c r="AO11" i="13" s="1"/>
  <c r="AJ5" i="13"/>
  <c r="AE5" i="13"/>
  <c r="AE11" i="13" s="1"/>
  <c r="Z5" i="13"/>
  <c r="Z11" i="13" s="1"/>
  <c r="U5" i="13"/>
  <c r="U11" i="13" s="1"/>
  <c r="P5" i="13"/>
  <c r="P11" i="13" s="1"/>
  <c r="K5" i="13"/>
  <c r="F5" i="13"/>
  <c r="F11" i="13" s="1"/>
  <c r="AW15" i="9"/>
  <c r="BA15" i="9" s="1"/>
  <c r="AV15" i="9"/>
  <c r="AZ15" i="9" s="1"/>
  <c r="AY14" i="9"/>
  <c r="AX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AW14" i="9" s="1"/>
  <c r="BA14" i="9" s="1"/>
  <c r="F14" i="9"/>
  <c r="AV14" i="9" s="1"/>
  <c r="AZ14" i="9" s="1"/>
  <c r="AW13" i="9"/>
  <c r="BA13" i="9" s="1"/>
  <c r="AV13" i="9"/>
  <c r="AZ13" i="9" s="1"/>
  <c r="AW12" i="9"/>
  <c r="BA12" i="9" s="1"/>
  <c r="AV12" i="9"/>
  <c r="AZ12" i="9" s="1"/>
  <c r="AW11" i="9"/>
  <c r="BA11" i="9" s="1"/>
  <c r="AV11" i="9"/>
  <c r="AZ11" i="9" s="1"/>
  <c r="AW10" i="9"/>
  <c r="BA10" i="9" s="1"/>
  <c r="AV10" i="9"/>
  <c r="AZ10" i="9" s="1"/>
  <c r="AW9" i="9"/>
  <c r="BA9" i="9" s="1"/>
  <c r="AV9" i="9"/>
  <c r="AZ9" i="9" s="1"/>
  <c r="AW8" i="9"/>
  <c r="BA8" i="9" s="1"/>
  <c r="AV8" i="9"/>
  <c r="AZ8" i="9" s="1"/>
  <c r="AB8" i="9"/>
  <c r="AZ7" i="9"/>
  <c r="AW7" i="9"/>
  <c r="BA7" i="9" s="1"/>
  <c r="AV7" i="9"/>
  <c r="AZ6" i="9"/>
  <c r="AW6" i="9"/>
  <c r="BA6" i="9" s="1"/>
  <c r="AV6" i="9"/>
  <c r="AW5" i="9"/>
  <c r="BA5" i="9" s="1"/>
  <c r="AV5" i="9"/>
  <c r="AZ5" i="9" s="1"/>
  <c r="BY23" i="15" l="1"/>
  <c r="BU21" i="15"/>
  <c r="CA21" i="15" s="1"/>
  <c r="CA23" i="15"/>
  <c r="BN11" i="13"/>
  <c r="AY48" i="12"/>
  <c r="AX48" i="12"/>
  <c r="I48" i="12"/>
  <c r="H48" i="12"/>
  <c r="C48" i="12"/>
  <c r="B48" i="12"/>
  <c r="AW47" i="12"/>
  <c r="BA47" i="12" s="1"/>
  <c r="AV47" i="12"/>
  <c r="AZ47" i="12" s="1"/>
  <c r="AW46" i="12"/>
  <c r="BA46" i="12" s="1"/>
  <c r="AV46" i="12"/>
  <c r="AZ46" i="12" s="1"/>
  <c r="AW45" i="12"/>
  <c r="BA45" i="12" s="1"/>
  <c r="AV45" i="12"/>
  <c r="AZ45" i="12" s="1"/>
  <c r="AE44" i="12"/>
  <c r="AD44" i="12"/>
  <c r="W44" i="12"/>
  <c r="V44" i="12"/>
  <c r="U44" i="12"/>
  <c r="T44" i="12"/>
  <c r="Q44" i="12"/>
  <c r="P44" i="12"/>
  <c r="O44" i="12"/>
  <c r="N44" i="12"/>
  <c r="AY43" i="12"/>
  <c r="AX43" i="12"/>
  <c r="AU43" i="12"/>
  <c r="AT43" i="12"/>
  <c r="AS43" i="12"/>
  <c r="AR43" i="12"/>
  <c r="AR44" i="12" s="1"/>
  <c r="AQ43" i="12"/>
  <c r="AP43" i="12"/>
  <c r="AK43" i="12"/>
  <c r="AJ43" i="12"/>
  <c r="S43" i="12"/>
  <c r="S44" i="12" s="1"/>
  <c r="R43" i="12"/>
  <c r="R44" i="12" s="1"/>
  <c r="K43" i="12"/>
  <c r="J43" i="12"/>
  <c r="I43" i="12"/>
  <c r="H43" i="12"/>
  <c r="G43" i="12"/>
  <c r="F43" i="12"/>
  <c r="C43" i="12"/>
  <c r="C44" i="12" s="1"/>
  <c r="B43" i="12"/>
  <c r="AW42" i="12"/>
  <c r="BA42" i="12" s="1"/>
  <c r="AV42" i="12"/>
  <c r="AZ42" i="12" s="1"/>
  <c r="BA41" i="12"/>
  <c r="AW41" i="12"/>
  <c r="AV41" i="12"/>
  <c r="AZ41" i="12" s="1"/>
  <c r="AY40" i="12"/>
  <c r="AY44" i="12" s="1"/>
  <c r="AX40" i="12"/>
  <c r="AX44" i="12" s="1"/>
  <c r="AU40" i="12"/>
  <c r="AU44" i="12" s="1"/>
  <c r="AT40" i="12"/>
  <c r="AT44" i="12" s="1"/>
  <c r="AS40" i="12"/>
  <c r="AS44" i="12" s="1"/>
  <c r="AR40" i="12"/>
  <c r="AQ40" i="12"/>
  <c r="AP40" i="12"/>
  <c r="AP44" i="12" s="1"/>
  <c r="AK40" i="12"/>
  <c r="AK44" i="12" s="1"/>
  <c r="AJ40" i="12"/>
  <c r="AJ44" i="12" s="1"/>
  <c r="AI40" i="12"/>
  <c r="AI44" i="12" s="1"/>
  <c r="AH40" i="12"/>
  <c r="AH44" i="12" s="1"/>
  <c r="S40" i="12"/>
  <c r="R40" i="12"/>
  <c r="K40" i="12"/>
  <c r="J40" i="12"/>
  <c r="I40" i="12"/>
  <c r="I44" i="12" s="1"/>
  <c r="H40" i="12"/>
  <c r="H44" i="12" s="1"/>
  <c r="G40" i="12"/>
  <c r="F40" i="12"/>
  <c r="C40" i="12"/>
  <c r="B40" i="12"/>
  <c r="AW39" i="12"/>
  <c r="BA39" i="12" s="1"/>
  <c r="AV39" i="12"/>
  <c r="AZ39" i="12" s="1"/>
  <c r="AW38" i="12"/>
  <c r="BA38" i="12" s="1"/>
  <c r="AV38" i="12"/>
  <c r="AZ38" i="12" s="1"/>
  <c r="AW37" i="12"/>
  <c r="BA37" i="12" s="1"/>
  <c r="AV37" i="12"/>
  <c r="AZ37" i="12" s="1"/>
  <c r="AW36" i="12"/>
  <c r="BA36" i="12" s="1"/>
  <c r="AV36" i="12"/>
  <c r="AZ36" i="12" s="1"/>
  <c r="AW35" i="12"/>
  <c r="BA35" i="12" s="1"/>
  <c r="AV35" i="12"/>
  <c r="AZ35" i="12" s="1"/>
  <c r="AW34" i="12"/>
  <c r="BA34" i="12" s="1"/>
  <c r="AV34" i="12"/>
  <c r="AZ34" i="12" s="1"/>
  <c r="AW33" i="12"/>
  <c r="BA33" i="12" s="1"/>
  <c r="AV33" i="12"/>
  <c r="AZ33" i="12" s="1"/>
  <c r="AW32" i="12"/>
  <c r="BA32" i="12" s="1"/>
  <c r="AV32" i="12"/>
  <c r="AZ32" i="12" s="1"/>
  <c r="AW31" i="12"/>
  <c r="BA31" i="12" s="1"/>
  <c r="AV31" i="12"/>
  <c r="AZ31" i="12" s="1"/>
  <c r="BA30" i="12"/>
  <c r="AW30" i="12"/>
  <c r="AV30" i="12"/>
  <c r="AZ30" i="12" s="1"/>
  <c r="AW29" i="12"/>
  <c r="BA29" i="12" s="1"/>
  <c r="AV29" i="12"/>
  <c r="AZ29" i="12" s="1"/>
  <c r="AW28" i="12"/>
  <c r="BA28" i="12" s="1"/>
  <c r="AV28" i="12"/>
  <c r="AZ28" i="12" s="1"/>
  <c r="AW27" i="12"/>
  <c r="BA27" i="12" s="1"/>
  <c r="AU27" i="12"/>
  <c r="AT27" i="12"/>
  <c r="AV27" i="12" s="1"/>
  <c r="AZ27" i="12" s="1"/>
  <c r="AW26" i="12"/>
  <c r="BA26" i="12" s="1"/>
  <c r="AV26" i="12"/>
  <c r="AZ26" i="12" s="1"/>
  <c r="BA25" i="12"/>
  <c r="AZ25" i="12"/>
  <c r="AW25" i="12"/>
  <c r="AV25" i="12"/>
  <c r="AW24" i="12"/>
  <c r="BA24" i="12" s="1"/>
  <c r="AV24" i="12"/>
  <c r="AZ24" i="12" s="1"/>
  <c r="AW23" i="12"/>
  <c r="BA23" i="12" s="1"/>
  <c r="Y23" i="12"/>
  <c r="X23" i="12"/>
  <c r="AV23" i="12" s="1"/>
  <c r="AZ23" i="12" s="1"/>
  <c r="AW22" i="12"/>
  <c r="BA22" i="12" s="1"/>
  <c r="S22" i="12"/>
  <c r="R22" i="12"/>
  <c r="AV22" i="12" s="1"/>
  <c r="AZ22" i="12" s="1"/>
  <c r="AW21" i="12"/>
  <c r="BA21" i="12" s="1"/>
  <c r="AV21" i="12"/>
  <c r="AZ21" i="12" s="1"/>
  <c r="BA20" i="12"/>
  <c r="AZ20" i="12"/>
  <c r="AW20" i="12"/>
  <c r="AV20" i="12"/>
  <c r="AW19" i="12"/>
  <c r="BA19" i="12" s="1"/>
  <c r="AV19" i="12"/>
  <c r="AZ19" i="12" s="1"/>
  <c r="AI18" i="12"/>
  <c r="AH18" i="12"/>
  <c r="M18" i="12"/>
  <c r="L18" i="12"/>
  <c r="G18" i="12"/>
  <c r="F18" i="12"/>
  <c r="AW17" i="12"/>
  <c r="BA17" i="12" s="1"/>
  <c r="AV17" i="12"/>
  <c r="AZ17" i="12" s="1"/>
  <c r="AV16" i="12"/>
  <c r="AZ16" i="12" s="1"/>
  <c r="S16" i="12"/>
  <c r="AW16" i="12" s="1"/>
  <c r="BA16" i="12" s="1"/>
  <c r="R16" i="12"/>
  <c r="L16" i="12"/>
  <c r="G16" i="12"/>
  <c r="F16" i="12"/>
  <c r="AW15" i="12"/>
  <c r="BA15" i="12" s="1"/>
  <c r="AV15" i="12"/>
  <c r="AZ15" i="12" s="1"/>
  <c r="AW14" i="12"/>
  <c r="BA14" i="12" s="1"/>
  <c r="AV14" i="12"/>
  <c r="AZ14" i="12" s="1"/>
  <c r="AW13" i="12"/>
  <c r="BA13" i="12" s="1"/>
  <c r="AV13" i="12"/>
  <c r="AZ13" i="12" s="1"/>
  <c r="AW12" i="12"/>
  <c r="BA12" i="12" s="1"/>
  <c r="AV12" i="12"/>
  <c r="AZ12" i="12" s="1"/>
  <c r="AY11" i="12"/>
  <c r="AX11" i="12"/>
  <c r="AE11" i="12"/>
  <c r="AD11" i="12"/>
  <c r="U11" i="12"/>
  <c r="T11" i="12"/>
  <c r="S11" i="12"/>
  <c r="R11" i="12"/>
  <c r="Q11" i="12"/>
  <c r="P11" i="12"/>
  <c r="O11" i="12"/>
  <c r="N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W10" i="12" s="1"/>
  <c r="BA10" i="12" s="1"/>
  <c r="AB10" i="12"/>
  <c r="AV10" i="12" s="1"/>
  <c r="AZ10" i="12" s="1"/>
  <c r="BA9" i="12"/>
  <c r="AZ9" i="12"/>
  <c r="AW9" i="12"/>
  <c r="AV9" i="12"/>
  <c r="AW8" i="12"/>
  <c r="BA8" i="12" s="1"/>
  <c r="AV8" i="12"/>
  <c r="AZ8" i="12" s="1"/>
  <c r="AZ7" i="12"/>
  <c r="AW7" i="12"/>
  <c r="BA7" i="12" s="1"/>
  <c r="AV7" i="12"/>
  <c r="C7" i="12"/>
  <c r="CW37" i="11"/>
  <c r="CV37" i="11"/>
  <c r="CU37" i="11"/>
  <c r="CT37" i="11"/>
  <c r="CO37" i="11"/>
  <c r="CN37" i="11"/>
  <c r="CM37" i="11"/>
  <c r="CL37" i="11"/>
  <c r="CH37" i="11"/>
  <c r="CC37" i="11"/>
  <c r="CB37" i="11"/>
  <c r="CA37" i="11"/>
  <c r="BZ37" i="11"/>
  <c r="BY37" i="11"/>
  <c r="BX37" i="11"/>
  <c r="BW37" i="11"/>
  <c r="BV37" i="11"/>
  <c r="BU37" i="11"/>
  <c r="BR37" i="11"/>
  <c r="BQ37" i="11"/>
  <c r="BP37" i="11"/>
  <c r="BO37" i="11"/>
  <c r="BN37" i="11"/>
  <c r="BK37" i="11"/>
  <c r="BJ37" i="11"/>
  <c r="BI37" i="11"/>
  <c r="BH37" i="11"/>
  <c r="BG37" i="11"/>
  <c r="BF37" i="11"/>
  <c r="BE37" i="11"/>
  <c r="BD37" i="11"/>
  <c r="BC37" i="11"/>
  <c r="BB37" i="11"/>
  <c r="BA37" i="11"/>
  <c r="AZ37" i="11"/>
  <c r="AY37" i="11"/>
  <c r="AX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Q37" i="11"/>
  <c r="O37" i="11"/>
  <c r="N37" i="11"/>
  <c r="M37" i="11"/>
  <c r="L37" i="11"/>
  <c r="K37" i="11"/>
  <c r="J37" i="11"/>
  <c r="I37" i="11"/>
  <c r="CS37" i="11" s="1"/>
  <c r="H37" i="11"/>
  <c r="G37" i="11"/>
  <c r="F37" i="11"/>
  <c r="E37" i="11"/>
  <c r="D37" i="11"/>
  <c r="C37" i="11"/>
  <c r="B37" i="11"/>
  <c r="DA36" i="11"/>
  <c r="CZ36" i="11"/>
  <c r="CY36" i="11"/>
  <c r="CS36" i="11"/>
  <c r="CR36" i="11"/>
  <c r="CQ36" i="11"/>
  <c r="CP36" i="11"/>
  <c r="CX36" i="11" s="1"/>
  <c r="DA35" i="11"/>
  <c r="CZ35" i="11"/>
  <c r="CY35" i="11"/>
  <c r="CS35" i="11"/>
  <c r="CR35" i="11"/>
  <c r="CQ35" i="11"/>
  <c r="CP35" i="11"/>
  <c r="CX35" i="11" s="1"/>
  <c r="DA34" i="11"/>
  <c r="CZ34" i="11"/>
  <c r="CY34" i="11"/>
  <c r="CS34" i="11"/>
  <c r="CR34" i="11"/>
  <c r="CQ34" i="11"/>
  <c r="CP34" i="11"/>
  <c r="CX34" i="11" s="1"/>
  <c r="DA33" i="11"/>
  <c r="CZ33" i="11"/>
  <c r="CY33" i="11"/>
  <c r="CS33" i="11"/>
  <c r="CR33" i="11"/>
  <c r="CQ33" i="11"/>
  <c r="CP33" i="11"/>
  <c r="CX33" i="11" s="1"/>
  <c r="DA32" i="11"/>
  <c r="CZ32" i="11"/>
  <c r="CY32" i="11"/>
  <c r="CS32" i="11"/>
  <c r="CR32" i="11"/>
  <c r="CQ32" i="11"/>
  <c r="CP32" i="11"/>
  <c r="CX32" i="11" s="1"/>
  <c r="DA31" i="11"/>
  <c r="CZ31" i="11"/>
  <c r="CY31" i="11"/>
  <c r="CS31" i="11"/>
  <c r="CR31" i="11"/>
  <c r="CQ31" i="11"/>
  <c r="CP31" i="11"/>
  <c r="CX31" i="11" s="1"/>
  <c r="CK30" i="11"/>
  <c r="CK37" i="11" s="1"/>
  <c r="CJ30" i="11"/>
  <c r="CJ37" i="11" s="1"/>
  <c r="CI30" i="11"/>
  <c r="CI37" i="11" s="1"/>
  <c r="CH30" i="11"/>
  <c r="BU30" i="11"/>
  <c r="BT30" i="11"/>
  <c r="CR30" i="11" s="1"/>
  <c r="CZ30" i="11" s="1"/>
  <c r="CZ37" i="11" s="1"/>
  <c r="BS30" i="11"/>
  <c r="CQ30" i="11" s="1"/>
  <c r="CY30" i="11" s="1"/>
  <c r="CY37" i="11" s="1"/>
  <c r="U30" i="11"/>
  <c r="CS30" i="11" s="1"/>
  <c r="DA30" i="11" s="1"/>
  <c r="DA37" i="11" s="1"/>
  <c r="T30" i="11"/>
  <c r="S30" i="11"/>
  <c r="S37" i="11" s="1"/>
  <c r="R30" i="11"/>
  <c r="CP30" i="11" s="1"/>
  <c r="CX30" i="11" s="1"/>
  <c r="CS29" i="11"/>
  <c r="DA29" i="11" s="1"/>
  <c r="CR29" i="11"/>
  <c r="CZ29" i="11" s="1"/>
  <c r="CQ29" i="11"/>
  <c r="CY29" i="11" s="1"/>
  <c r="CP29" i="11"/>
  <c r="CX29" i="11" s="1"/>
  <c r="CS28" i="11"/>
  <c r="DA28" i="11" s="1"/>
  <c r="CR28" i="11"/>
  <c r="CZ28" i="11" s="1"/>
  <c r="CQ28" i="11"/>
  <c r="CY28" i="11" s="1"/>
  <c r="CP28" i="11"/>
  <c r="CX28" i="11" s="1"/>
  <c r="CS27" i="11"/>
  <c r="DA27" i="11" s="1"/>
  <c r="CR27" i="11"/>
  <c r="CZ27" i="11" s="1"/>
  <c r="CQ27" i="11"/>
  <c r="CY27" i="11" s="1"/>
  <c r="CP27" i="11"/>
  <c r="CX27" i="11" s="1"/>
  <c r="CS26" i="11"/>
  <c r="DA26" i="11" s="1"/>
  <c r="CR26" i="11"/>
  <c r="CZ26" i="11" s="1"/>
  <c r="CQ26" i="11"/>
  <c r="CY26" i="11" s="1"/>
  <c r="CP26" i="11"/>
  <c r="CX26" i="11" s="1"/>
  <c r="CW25" i="11"/>
  <c r="CV25" i="11"/>
  <c r="CU25" i="11"/>
  <c r="CT25" i="11"/>
  <c r="CO25" i="11"/>
  <c r="CN25" i="11"/>
  <c r="CM25" i="11"/>
  <c r="CL25" i="11"/>
  <c r="CJ25" i="11"/>
  <c r="CH25" i="11"/>
  <c r="CC25" i="11"/>
  <c r="CB25" i="11"/>
  <c r="CA25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R25" i="11" s="1"/>
  <c r="CZ25" i="11" s="1"/>
  <c r="C25" i="11"/>
  <c r="CQ25" i="11" s="1"/>
  <c r="CY25" i="11" s="1"/>
  <c r="B25" i="11"/>
  <c r="CP25" i="11" s="1"/>
  <c r="CX25" i="11" s="1"/>
  <c r="DA24" i="11"/>
  <c r="CZ24" i="11"/>
  <c r="CY24" i="11"/>
  <c r="CX24" i="11"/>
  <c r="CS24" i="11"/>
  <c r="CR24" i="11"/>
  <c r="CQ24" i="11"/>
  <c r="CP24" i="11"/>
  <c r="DA23" i="11"/>
  <c r="CZ23" i="11"/>
  <c r="CY23" i="11"/>
  <c r="CX23" i="11"/>
  <c r="CS23" i="11"/>
  <c r="CR23" i="11"/>
  <c r="CQ23" i="11"/>
  <c r="CP23" i="11"/>
  <c r="DA22" i="11"/>
  <c r="CZ22" i="11"/>
  <c r="CY22" i="11"/>
  <c r="CX22" i="11"/>
  <c r="CS22" i="11"/>
  <c r="CR22" i="11"/>
  <c r="CQ22" i="11"/>
  <c r="CP22" i="11"/>
  <c r="CZ21" i="11"/>
  <c r="CY21" i="11"/>
  <c r="CX21" i="11"/>
  <c r="CR21" i="11"/>
  <c r="CQ21" i="11"/>
  <c r="CP21" i="11"/>
  <c r="CK21" i="11"/>
  <c r="CK25" i="11" s="1"/>
  <c r="CI21" i="11"/>
  <c r="CI25" i="11" s="1"/>
  <c r="CH21" i="11"/>
  <c r="Y21" i="11"/>
  <c r="CS21" i="11" s="1"/>
  <c r="DA21" i="11" s="1"/>
  <c r="X21" i="11"/>
  <c r="W21" i="11"/>
  <c r="V21" i="11"/>
  <c r="CZ20" i="11"/>
  <c r="CY20" i="11"/>
  <c r="CX20" i="11"/>
  <c r="CS20" i="11"/>
  <c r="DA20" i="11" s="1"/>
  <c r="CR20" i="11"/>
  <c r="CQ20" i="11"/>
  <c r="CP20" i="11"/>
  <c r="CZ19" i="11"/>
  <c r="CY19" i="11"/>
  <c r="CX19" i="11"/>
  <c r="CS19" i="11"/>
  <c r="DA19" i="11" s="1"/>
  <c r="CR19" i="11"/>
  <c r="CQ19" i="11"/>
  <c r="CP19" i="11"/>
  <c r="CS18" i="11"/>
  <c r="DA18" i="11" s="1"/>
  <c r="BM18" i="11"/>
  <c r="BM25" i="11" s="1"/>
  <c r="BL18" i="11"/>
  <c r="BK18" i="11"/>
  <c r="BJ18" i="11"/>
  <c r="AO18" i="11"/>
  <c r="AO25" i="11" s="1"/>
  <c r="AN18" i="11"/>
  <c r="CR18" i="11" s="1"/>
  <c r="CZ18" i="11" s="1"/>
  <c r="AM18" i="11"/>
  <c r="CQ18" i="11" s="1"/>
  <c r="CY18" i="11" s="1"/>
  <c r="AL18" i="11"/>
  <c r="CP18" i="11" s="1"/>
  <c r="CX18" i="11" s="1"/>
  <c r="CZ17" i="11"/>
  <c r="CY17" i="11"/>
  <c r="CX17" i="11"/>
  <c r="CS17" i="11"/>
  <c r="DA17" i="11" s="1"/>
  <c r="CR17" i="11"/>
  <c r="CQ17" i="11"/>
  <c r="CP17" i="11"/>
  <c r="CZ16" i="11"/>
  <c r="CY16" i="11"/>
  <c r="CX16" i="11"/>
  <c r="CS16" i="11"/>
  <c r="DA16" i="11" s="1"/>
  <c r="CR16" i="11"/>
  <c r="CQ16" i="11"/>
  <c r="CP16" i="11"/>
  <c r="CZ15" i="11"/>
  <c r="CY15" i="11"/>
  <c r="CX15" i="11"/>
  <c r="CS15" i="11"/>
  <c r="DA15" i="11" s="1"/>
  <c r="CR15" i="11"/>
  <c r="CQ15" i="11"/>
  <c r="CP15" i="11"/>
  <c r="CZ14" i="11"/>
  <c r="CY14" i="11"/>
  <c r="CX14" i="11"/>
  <c r="CS14" i="11"/>
  <c r="DA14" i="11" s="1"/>
  <c r="CR14" i="11"/>
  <c r="CQ14" i="11"/>
  <c r="CP14" i="11"/>
  <c r="CZ13" i="11"/>
  <c r="CY13" i="11"/>
  <c r="CX13" i="11"/>
  <c r="CS13" i="11"/>
  <c r="DA13" i="11" s="1"/>
  <c r="CR13" i="11"/>
  <c r="CQ13" i="11"/>
  <c r="CP13" i="11"/>
  <c r="CW12" i="11"/>
  <c r="CV12" i="11"/>
  <c r="CU12" i="11"/>
  <c r="CT12" i="11"/>
  <c r="CO12" i="11"/>
  <c r="CN12" i="11"/>
  <c r="CM12" i="11"/>
  <c r="CL12" i="11"/>
  <c r="CK12" i="11"/>
  <c r="CJ12" i="11"/>
  <c r="CI12" i="11"/>
  <c r="CH12" i="11"/>
  <c r="CG12" i="11"/>
  <c r="CF12" i="11"/>
  <c r="CE12" i="11"/>
  <c r="CD12" i="11"/>
  <c r="CC12" i="11"/>
  <c r="CB12" i="11"/>
  <c r="CA12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CQ12" i="11" s="1"/>
  <c r="CY12" i="11" s="1"/>
  <c r="F12" i="11"/>
  <c r="CP12" i="11" s="1"/>
  <c r="CX12" i="11" s="1"/>
  <c r="E12" i="11"/>
  <c r="CS12" i="11" s="1"/>
  <c r="DA12" i="11" s="1"/>
  <c r="D12" i="11"/>
  <c r="C12" i="11"/>
  <c r="B12" i="11"/>
  <c r="CY11" i="11"/>
  <c r="CX11" i="11"/>
  <c r="CS11" i="11"/>
  <c r="DA11" i="11" s="1"/>
  <c r="CQ11" i="11"/>
  <c r="CP11" i="11"/>
  <c r="AZ11" i="11"/>
  <c r="AZ12" i="11" s="1"/>
  <c r="DA10" i="11"/>
  <c r="CZ10" i="11"/>
  <c r="CY10" i="11"/>
  <c r="CX10" i="11"/>
  <c r="CS10" i="11"/>
  <c r="CR10" i="11"/>
  <c r="CQ10" i="11"/>
  <c r="CP10" i="11"/>
  <c r="DA9" i="11"/>
  <c r="CZ9" i="11"/>
  <c r="CY9" i="11"/>
  <c r="CX9" i="11"/>
  <c r="CS9" i="11"/>
  <c r="CR9" i="11"/>
  <c r="CQ9" i="11"/>
  <c r="CP9" i="11"/>
  <c r="DA8" i="11"/>
  <c r="CZ8" i="11"/>
  <c r="CY8" i="11"/>
  <c r="CX8" i="11"/>
  <c r="CS8" i="11"/>
  <c r="CR8" i="11"/>
  <c r="CQ8" i="11"/>
  <c r="CP8" i="11"/>
  <c r="DA7" i="11"/>
  <c r="CZ7" i="11"/>
  <c r="CY7" i="11"/>
  <c r="CX7" i="11"/>
  <c r="CS7" i="11"/>
  <c r="CR7" i="11"/>
  <c r="CQ7" i="11"/>
  <c r="CP7" i="11"/>
  <c r="DA6" i="11"/>
  <c r="CZ6" i="11"/>
  <c r="CY6" i="11"/>
  <c r="CX6" i="11"/>
  <c r="CS6" i="11"/>
  <c r="CR6" i="11"/>
  <c r="CQ6" i="11"/>
  <c r="CP6" i="11"/>
  <c r="CZ5" i="11"/>
  <c r="CY5" i="11"/>
  <c r="CX5" i="11"/>
  <c r="CS5" i="11"/>
  <c r="DA5" i="11" s="1"/>
  <c r="CR5" i="11"/>
  <c r="CQ5" i="11"/>
  <c r="CP5" i="11"/>
  <c r="AV11" i="12" l="1"/>
  <c r="AZ11" i="12" s="1"/>
  <c r="AV18" i="12"/>
  <c r="AZ18" i="12" s="1"/>
  <c r="B44" i="12"/>
  <c r="AV48" i="12"/>
  <c r="AZ48" i="12" s="1"/>
  <c r="AW48" i="12"/>
  <c r="BA48" i="12" s="1"/>
  <c r="AW11" i="12"/>
  <c r="BA11" i="12" s="1"/>
  <c r="AW18" i="12"/>
  <c r="BA18" i="12" s="1"/>
  <c r="J44" i="12"/>
  <c r="AV43" i="12"/>
  <c r="AZ43" i="12" s="1"/>
  <c r="K44" i="12"/>
  <c r="AQ44" i="12"/>
  <c r="AW43" i="12"/>
  <c r="BA43" i="12" s="1"/>
  <c r="AW40" i="12"/>
  <c r="BA40" i="12" s="1"/>
  <c r="G44" i="12"/>
  <c r="AW44" i="12" s="1"/>
  <c r="BA44" i="12" s="1"/>
  <c r="AV40" i="12"/>
  <c r="AZ40" i="12" s="1"/>
  <c r="F44" i="12"/>
  <c r="AV44" i="12" s="1"/>
  <c r="AZ44" i="12" s="1"/>
  <c r="CX37" i="11"/>
  <c r="CR12" i="11"/>
  <c r="CZ12" i="11" s="1"/>
  <c r="BS37" i="11"/>
  <c r="CQ37" i="11" s="1"/>
  <c r="R37" i="11"/>
  <c r="CP37" i="11" s="1"/>
  <c r="BT37" i="11"/>
  <c r="CR37" i="11" s="1"/>
  <c r="Y25" i="11"/>
  <c r="CS25" i="11" s="1"/>
  <c r="DA25" i="11" s="1"/>
  <c r="CR11" i="11"/>
  <c r="CZ11" i="11" s="1"/>
  <c r="CW39" i="8"/>
  <c r="CV39" i="8"/>
  <c r="CO39" i="8"/>
  <c r="CN39" i="8"/>
  <c r="CK39" i="8"/>
  <c r="CJ39" i="8"/>
  <c r="CI39" i="8"/>
  <c r="CH39" i="8"/>
  <c r="CG39" i="8"/>
  <c r="CF39" i="8"/>
  <c r="CE39" i="8"/>
  <c r="CD39" i="8"/>
  <c r="CC39" i="8"/>
  <c r="CB39" i="8"/>
  <c r="CA39" i="8"/>
  <c r="BZ39" i="8"/>
  <c r="BY39" i="8"/>
  <c r="BX39" i="8"/>
  <c r="BW39" i="8"/>
  <c r="BV39" i="8"/>
  <c r="BU39" i="8"/>
  <c r="BT39" i="8"/>
  <c r="BS39" i="8"/>
  <c r="BQ39" i="8"/>
  <c r="BP39" i="8"/>
  <c r="BO39" i="8"/>
  <c r="BN39" i="8"/>
  <c r="BJ39" i="8"/>
  <c r="BI39" i="8"/>
  <c r="BH39" i="8"/>
  <c r="BE39" i="8"/>
  <c r="BD39" i="8"/>
  <c r="BC39" i="8"/>
  <c r="BB39" i="8"/>
  <c r="AS39" i="8"/>
  <c r="AR39" i="8"/>
  <c r="AQ39" i="8"/>
  <c r="AP39" i="8"/>
  <c r="AM39" i="8"/>
  <c r="AL39" i="8"/>
  <c r="AK39" i="8"/>
  <c r="AJ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DA38" i="8"/>
  <c r="CZ38" i="8"/>
  <c r="CS38" i="8"/>
  <c r="CR38" i="8"/>
  <c r="CQ38" i="8"/>
  <c r="CY38" i="8" s="1"/>
  <c r="CP38" i="8"/>
  <c r="CX38" i="8" s="1"/>
  <c r="DA37" i="8"/>
  <c r="CZ37" i="8"/>
  <c r="CS37" i="8"/>
  <c r="CR37" i="8"/>
  <c r="CQ37" i="8"/>
  <c r="CY37" i="8" s="1"/>
  <c r="CP37" i="8"/>
  <c r="CX37" i="8" s="1"/>
  <c r="CW36" i="8"/>
  <c r="CV36" i="8"/>
  <c r="CU36" i="8"/>
  <c r="CU39" i="8" s="1"/>
  <c r="CT36" i="8"/>
  <c r="CT39" i="8" s="1"/>
  <c r="CO36" i="8"/>
  <c r="CN36" i="8"/>
  <c r="CM36" i="8"/>
  <c r="CL36" i="8"/>
  <c r="BM36" i="8"/>
  <c r="BL36" i="8"/>
  <c r="BK36" i="8"/>
  <c r="BJ36" i="8"/>
  <c r="BI36" i="8"/>
  <c r="BH36" i="8"/>
  <c r="BG36" i="8"/>
  <c r="BG39" i="8" s="1"/>
  <c r="BF36" i="8"/>
  <c r="BF39" i="8" s="1"/>
  <c r="BA36" i="8"/>
  <c r="BA39" i="8" s="1"/>
  <c r="AZ36" i="8"/>
  <c r="AZ39" i="8" s="1"/>
  <c r="AY36" i="8"/>
  <c r="AY39" i="8" s="1"/>
  <c r="AX36" i="8"/>
  <c r="AX39" i="8" s="1"/>
  <c r="AW36" i="8"/>
  <c r="AW39" i="8" s="1"/>
  <c r="AV36" i="8"/>
  <c r="AV39" i="8" s="1"/>
  <c r="AU36" i="8"/>
  <c r="AU39" i="8" s="1"/>
  <c r="AT36" i="8"/>
  <c r="AT39" i="8" s="1"/>
  <c r="AO36" i="8"/>
  <c r="CS36" i="8" s="1"/>
  <c r="DA36" i="8" s="1"/>
  <c r="AN36" i="8"/>
  <c r="CR36" i="8" s="1"/>
  <c r="CZ36" i="8" s="1"/>
  <c r="AM36" i="8"/>
  <c r="CQ36" i="8" s="1"/>
  <c r="CY36" i="8" s="1"/>
  <c r="CX35" i="8"/>
  <c r="CS35" i="8"/>
  <c r="DA35" i="8" s="1"/>
  <c r="CR35" i="8"/>
  <c r="CZ35" i="8" s="1"/>
  <c r="CQ35" i="8"/>
  <c r="CY35" i="8" s="1"/>
  <c r="CP35" i="8"/>
  <c r="CX34" i="8"/>
  <c r="CS34" i="8"/>
  <c r="DA34" i="8" s="1"/>
  <c r="CR34" i="8"/>
  <c r="CZ34" i="8" s="1"/>
  <c r="CQ34" i="8"/>
  <c r="CY34" i="8" s="1"/>
  <c r="CP34" i="8"/>
  <c r="BU33" i="8"/>
  <c r="BT33" i="8"/>
  <c r="BS33" i="8"/>
  <c r="BR33" i="8"/>
  <c r="BR39" i="8" s="1"/>
  <c r="BM33" i="8"/>
  <c r="CS33" i="8" s="1"/>
  <c r="DA33" i="8" s="1"/>
  <c r="BL33" i="8"/>
  <c r="CR33" i="8" s="1"/>
  <c r="CZ33" i="8" s="1"/>
  <c r="BK33" i="8"/>
  <c r="CQ33" i="8" s="1"/>
  <c r="CY33" i="8" s="1"/>
  <c r="BJ33" i="8"/>
  <c r="CP33" i="8" s="1"/>
  <c r="CX33" i="8" s="1"/>
  <c r="CX32" i="8"/>
  <c r="CS32" i="8"/>
  <c r="DA32" i="8" s="1"/>
  <c r="CR32" i="8"/>
  <c r="CZ32" i="8" s="1"/>
  <c r="CQ32" i="8"/>
  <c r="CY32" i="8" s="1"/>
  <c r="CP32" i="8"/>
  <c r="CX31" i="8"/>
  <c r="CS31" i="8"/>
  <c r="DA31" i="8" s="1"/>
  <c r="CR31" i="8"/>
  <c r="CZ31" i="8" s="1"/>
  <c r="CQ31" i="8"/>
  <c r="CY31" i="8" s="1"/>
  <c r="CP31" i="8"/>
  <c r="CX30" i="8"/>
  <c r="CS30" i="8"/>
  <c r="DA30" i="8" s="1"/>
  <c r="CR30" i="8"/>
  <c r="CZ30" i="8" s="1"/>
  <c r="CQ30" i="8"/>
  <c r="CY30" i="8" s="1"/>
  <c r="CP30" i="8"/>
  <c r="CX29" i="8"/>
  <c r="CS29" i="8"/>
  <c r="DA29" i="8" s="1"/>
  <c r="CR29" i="8"/>
  <c r="CZ29" i="8" s="1"/>
  <c r="CQ29" i="8"/>
  <c r="CY29" i="8" s="1"/>
  <c r="CP29" i="8"/>
  <c r="CS28" i="8"/>
  <c r="DA28" i="8" s="1"/>
  <c r="CR28" i="8"/>
  <c r="CZ28" i="8" s="1"/>
  <c r="CQ28" i="8"/>
  <c r="CY28" i="8" s="1"/>
  <c r="CO28" i="8"/>
  <c r="CN28" i="8"/>
  <c r="CM28" i="8"/>
  <c r="CM39" i="8" s="1"/>
  <c r="CL28" i="8"/>
  <c r="CP28" i="8" s="1"/>
  <c r="CX28" i="8" s="1"/>
  <c r="DA27" i="8"/>
  <c r="CZ27" i="8"/>
  <c r="CY27" i="8"/>
  <c r="CS27" i="8"/>
  <c r="CR27" i="8"/>
  <c r="CQ27" i="8"/>
  <c r="CP27" i="8"/>
  <c r="CX27" i="8" s="1"/>
  <c r="CP26" i="8"/>
  <c r="CX26" i="8" s="1"/>
  <c r="BM26" i="8"/>
  <c r="CS26" i="8" s="1"/>
  <c r="DA26" i="8" s="1"/>
  <c r="BL26" i="8"/>
  <c r="CR26" i="8" s="1"/>
  <c r="CZ26" i="8" s="1"/>
  <c r="BK26" i="8"/>
  <c r="CQ26" i="8" s="1"/>
  <c r="CY26" i="8" s="1"/>
  <c r="BJ26" i="8"/>
  <c r="CX25" i="8"/>
  <c r="CS25" i="8"/>
  <c r="DA25" i="8" s="1"/>
  <c r="CR25" i="8"/>
  <c r="CZ25" i="8" s="1"/>
  <c r="CQ25" i="8"/>
  <c r="CY25" i="8" s="1"/>
  <c r="CP25" i="8"/>
  <c r="CX24" i="8"/>
  <c r="CS24" i="8"/>
  <c r="DA24" i="8" s="1"/>
  <c r="CR24" i="8"/>
  <c r="CZ24" i="8" s="1"/>
  <c r="CQ24" i="8"/>
  <c r="CY24" i="8" s="1"/>
  <c r="CP24" i="8"/>
  <c r="CX23" i="8"/>
  <c r="CS23" i="8"/>
  <c r="DA23" i="8" s="1"/>
  <c r="CR23" i="8"/>
  <c r="CZ23" i="8" s="1"/>
  <c r="CQ23" i="8"/>
  <c r="CY23" i="8" s="1"/>
  <c r="CP23" i="8"/>
  <c r="CX22" i="8"/>
  <c r="CS22" i="8"/>
  <c r="DA22" i="8" s="1"/>
  <c r="CR22" i="8"/>
  <c r="CZ22" i="8" s="1"/>
  <c r="CQ22" i="8"/>
  <c r="CY22" i="8" s="1"/>
  <c r="CP22" i="8"/>
  <c r="CX21" i="8"/>
  <c r="CS21" i="8"/>
  <c r="DA21" i="8" s="1"/>
  <c r="CR21" i="8"/>
  <c r="CZ21" i="8" s="1"/>
  <c r="CQ21" i="8"/>
  <c r="CY21" i="8" s="1"/>
  <c r="CP21" i="8"/>
  <c r="CX20" i="8"/>
  <c r="CS20" i="8"/>
  <c r="DA20" i="8" s="1"/>
  <c r="CR20" i="8"/>
  <c r="CZ20" i="8" s="1"/>
  <c r="CQ20" i="8"/>
  <c r="CY20" i="8" s="1"/>
  <c r="CP20" i="8"/>
  <c r="CX19" i="8"/>
  <c r="CS19" i="8"/>
  <c r="DA19" i="8" s="1"/>
  <c r="CR19" i="8"/>
  <c r="CZ19" i="8" s="1"/>
  <c r="CQ19" i="8"/>
  <c r="CY19" i="8" s="1"/>
  <c r="CP19" i="8"/>
  <c r="CX18" i="8"/>
  <c r="CS18" i="8"/>
  <c r="DA18" i="8" s="1"/>
  <c r="CR18" i="8"/>
  <c r="CZ18" i="8" s="1"/>
  <c r="CQ18" i="8"/>
  <c r="CY18" i="8" s="1"/>
  <c r="CP18" i="8"/>
  <c r="CX17" i="8"/>
  <c r="CS17" i="8"/>
  <c r="DA17" i="8" s="1"/>
  <c r="CR17" i="8"/>
  <c r="CZ17" i="8" s="1"/>
  <c r="CQ17" i="8"/>
  <c r="CY17" i="8" s="1"/>
  <c r="CP17" i="8"/>
  <c r="CX16" i="8"/>
  <c r="CS16" i="8"/>
  <c r="DA16" i="8" s="1"/>
  <c r="CR16" i="8"/>
  <c r="CZ16" i="8" s="1"/>
  <c r="CQ16" i="8"/>
  <c r="CY16" i="8" s="1"/>
  <c r="CP16" i="8"/>
  <c r="CX15" i="8"/>
  <c r="CS15" i="8"/>
  <c r="DA15" i="8" s="1"/>
  <c r="CR15" i="8"/>
  <c r="CZ15" i="8" s="1"/>
  <c r="CQ15" i="8"/>
  <c r="CY15" i="8" s="1"/>
  <c r="CP15" i="8"/>
  <c r="CX14" i="8"/>
  <c r="CS14" i="8"/>
  <c r="DA14" i="8" s="1"/>
  <c r="CR14" i="8"/>
  <c r="CZ14" i="8" s="1"/>
  <c r="CQ14" i="8"/>
  <c r="CY14" i="8" s="1"/>
  <c r="CP14" i="8"/>
  <c r="CX13" i="8"/>
  <c r="CS13" i="8"/>
  <c r="DA13" i="8" s="1"/>
  <c r="CR13" i="8"/>
  <c r="CZ13" i="8" s="1"/>
  <c r="CQ13" i="8"/>
  <c r="CY13" i="8" s="1"/>
  <c r="CP13" i="8"/>
  <c r="CS12" i="8"/>
  <c r="DA12" i="8" s="1"/>
  <c r="CR12" i="8"/>
  <c r="CZ12" i="8" s="1"/>
  <c r="CQ12" i="8"/>
  <c r="CY12" i="8" s="1"/>
  <c r="BJ12" i="8"/>
  <c r="AK12" i="8"/>
  <c r="AJ12" i="8"/>
  <c r="AI12" i="8"/>
  <c r="AI39" i="8" s="1"/>
  <c r="AH12" i="8"/>
  <c r="CP12" i="8" s="1"/>
  <c r="CX12" i="8" s="1"/>
  <c r="DA11" i="8"/>
  <c r="CZ11" i="8"/>
  <c r="CS11" i="8"/>
  <c r="CR11" i="8"/>
  <c r="CQ11" i="8"/>
  <c r="CY11" i="8" s="1"/>
  <c r="CP11" i="8"/>
  <c r="CX11" i="8" s="1"/>
  <c r="DA10" i="8"/>
  <c r="CZ10" i="8"/>
  <c r="CS10" i="8"/>
  <c r="CR10" i="8"/>
  <c r="CQ10" i="8"/>
  <c r="CY10" i="8" s="1"/>
  <c r="CP10" i="8"/>
  <c r="CX10" i="8" s="1"/>
  <c r="DA9" i="8"/>
  <c r="CZ9" i="8"/>
  <c r="CS9" i="8"/>
  <c r="CR9" i="8"/>
  <c r="CQ9" i="8"/>
  <c r="CY9" i="8" s="1"/>
  <c r="CP9" i="8"/>
  <c r="CX9" i="8" s="1"/>
  <c r="DA8" i="8"/>
  <c r="CZ8" i="8"/>
  <c r="CS8" i="8"/>
  <c r="CR8" i="8"/>
  <c r="CQ8" i="8"/>
  <c r="CY8" i="8" s="1"/>
  <c r="CP8" i="8"/>
  <c r="CX8" i="8" s="1"/>
  <c r="DA7" i="8"/>
  <c r="CZ7" i="8"/>
  <c r="CS7" i="8"/>
  <c r="CR7" i="8"/>
  <c r="CQ7" i="8"/>
  <c r="CY7" i="8" s="1"/>
  <c r="CP7" i="8"/>
  <c r="CX7" i="8" s="1"/>
  <c r="DA6" i="8"/>
  <c r="CZ6" i="8"/>
  <c r="CS6" i="8"/>
  <c r="CR6" i="8"/>
  <c r="CQ6" i="8"/>
  <c r="CY6" i="8" s="1"/>
  <c r="CP6" i="8"/>
  <c r="CX6" i="8" s="1"/>
  <c r="DA5" i="8"/>
  <c r="CZ5" i="8"/>
  <c r="CS5" i="8"/>
  <c r="CS39" i="8" s="1"/>
  <c r="CR5" i="8"/>
  <c r="CR39" i="8" s="1"/>
  <c r="CQ5" i="8"/>
  <c r="CY5" i="8" s="1"/>
  <c r="CY39" i="8" s="1"/>
  <c r="CP5" i="8"/>
  <c r="DA39" i="8" l="1"/>
  <c r="CZ39" i="8"/>
  <c r="AN39" i="8"/>
  <c r="BL39" i="8"/>
  <c r="AO39" i="8"/>
  <c r="BM39" i="8"/>
  <c r="CX5" i="8"/>
  <c r="CX39" i="8" s="1"/>
  <c r="CP36" i="8"/>
  <c r="CX36" i="8" s="1"/>
  <c r="AH39" i="8"/>
  <c r="CL39" i="8"/>
  <c r="BK39" i="8"/>
  <c r="CQ39" i="8"/>
  <c r="CW25" i="7"/>
  <c r="CV25" i="7"/>
  <c r="CU25" i="7"/>
  <c r="CT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S25" i="7" s="1"/>
  <c r="DA25" i="7" s="1"/>
  <c r="CB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R25" i="7" s="1"/>
  <c r="CZ25" i="7" s="1"/>
  <c r="C25" i="7"/>
  <c r="CQ25" i="7" s="1"/>
  <c r="CY25" i="7" s="1"/>
  <c r="B25" i="7"/>
  <c r="CP25" i="7" s="1"/>
  <c r="CX25" i="7" s="1"/>
  <c r="DA24" i="7"/>
  <c r="CZ24" i="7"/>
  <c r="CY24" i="7"/>
  <c r="CS24" i="7"/>
  <c r="CR24" i="7"/>
  <c r="CQ24" i="7"/>
  <c r="CP24" i="7"/>
  <c r="CX24" i="7" s="1"/>
  <c r="DA23" i="7"/>
  <c r="CZ23" i="7"/>
  <c r="CY23" i="7"/>
  <c r="CS23" i="7"/>
  <c r="CR23" i="7"/>
  <c r="CQ23" i="7"/>
  <c r="CP23" i="7"/>
  <c r="CX23" i="7" s="1"/>
  <c r="DA22" i="7"/>
  <c r="CZ22" i="7"/>
  <c r="CY22" i="7"/>
  <c r="CS22" i="7"/>
  <c r="CR22" i="7"/>
  <c r="CQ22" i="7"/>
  <c r="CP22" i="7"/>
  <c r="CX22" i="7" s="1"/>
  <c r="DA21" i="7"/>
  <c r="CZ21" i="7"/>
  <c r="CY21" i="7"/>
  <c r="CS21" i="7"/>
  <c r="CR21" i="7"/>
  <c r="CQ21" i="7"/>
  <c r="CP21" i="7"/>
  <c r="CX21" i="7" s="1"/>
  <c r="DA20" i="7"/>
  <c r="CZ20" i="7"/>
  <c r="CY20" i="7"/>
  <c r="CS20" i="7"/>
  <c r="CR20" i="7"/>
  <c r="CQ20" i="7"/>
  <c r="CP20" i="7"/>
  <c r="CX20" i="7" s="1"/>
  <c r="DA19" i="7"/>
  <c r="CZ19" i="7"/>
  <c r="CY19" i="7"/>
  <c r="CS19" i="7"/>
  <c r="CR19" i="7"/>
  <c r="CQ19" i="7"/>
  <c r="CP19" i="7"/>
  <c r="CX19" i="7" s="1"/>
  <c r="DA18" i="7"/>
  <c r="CZ18" i="7"/>
  <c r="CY18" i="7"/>
  <c r="CS18" i="7"/>
  <c r="CR18" i="7"/>
  <c r="CQ18" i="7"/>
  <c r="CP18" i="7"/>
  <c r="CX18" i="7" s="1"/>
  <c r="DA17" i="7"/>
  <c r="CZ17" i="7"/>
  <c r="CY17" i="7"/>
  <c r="CS17" i="7"/>
  <c r="CR17" i="7"/>
  <c r="CQ17" i="7"/>
  <c r="CP17" i="7"/>
  <c r="CX17" i="7" s="1"/>
  <c r="DA16" i="7"/>
  <c r="CZ16" i="7"/>
  <c r="CY16" i="7"/>
  <c r="CS16" i="7"/>
  <c r="CR16" i="7"/>
  <c r="CQ16" i="7"/>
  <c r="CP16" i="7"/>
  <c r="CX16" i="7" s="1"/>
  <c r="DA15" i="7"/>
  <c r="CZ15" i="7"/>
  <c r="CY15" i="7"/>
  <c r="CS15" i="7"/>
  <c r="CR15" i="7"/>
  <c r="CQ15" i="7"/>
  <c r="CP15" i="7"/>
  <c r="CX15" i="7" s="1"/>
  <c r="DA14" i="7"/>
  <c r="CZ14" i="7"/>
  <c r="CY14" i="7"/>
  <c r="CS14" i="7"/>
  <c r="CR14" i="7"/>
  <c r="CQ14" i="7"/>
  <c r="CP14" i="7"/>
  <c r="CX14" i="7" s="1"/>
  <c r="DA13" i="7"/>
  <c r="CZ13" i="7"/>
  <c r="CY13" i="7"/>
  <c r="CS13" i="7"/>
  <c r="CR13" i="7"/>
  <c r="CQ13" i="7"/>
  <c r="CP13" i="7"/>
  <c r="CX13" i="7" s="1"/>
  <c r="CU12" i="7"/>
  <c r="CT12" i="7"/>
  <c r="CM12" i="7"/>
  <c r="CL12" i="7"/>
  <c r="CK12" i="7"/>
  <c r="CJ12" i="7"/>
  <c r="CI12" i="7"/>
  <c r="CE12" i="7"/>
  <c r="CD12" i="7"/>
  <c r="CC12" i="7"/>
  <c r="CB12" i="7"/>
  <c r="BY12" i="7"/>
  <c r="BU12" i="7"/>
  <c r="BT12" i="7"/>
  <c r="BS12" i="7"/>
  <c r="BR12" i="7"/>
  <c r="BQ12" i="7"/>
  <c r="BM12" i="7"/>
  <c r="BL12" i="7"/>
  <c r="BK12" i="7"/>
  <c r="BJ12" i="7"/>
  <c r="BI12" i="7"/>
  <c r="BE12" i="7"/>
  <c r="BD12" i="7"/>
  <c r="BC12" i="7"/>
  <c r="BB12" i="7"/>
  <c r="BA12" i="7"/>
  <c r="AW12" i="7"/>
  <c r="AV12" i="7"/>
  <c r="AU12" i="7"/>
  <c r="AT12" i="7"/>
  <c r="AS12" i="7"/>
  <c r="AO12" i="7"/>
  <c r="AN12" i="7"/>
  <c r="AM12" i="7"/>
  <c r="AL12" i="7"/>
  <c r="AK12" i="7"/>
  <c r="AG12" i="7"/>
  <c r="AF12" i="7"/>
  <c r="AE12" i="7"/>
  <c r="AD12" i="7"/>
  <c r="AC12" i="7"/>
  <c r="Y12" i="7"/>
  <c r="X12" i="7"/>
  <c r="W12" i="7"/>
  <c r="V12" i="7"/>
  <c r="U12" i="7"/>
  <c r="P12" i="7"/>
  <c r="O12" i="7"/>
  <c r="N12" i="7"/>
  <c r="M12" i="7"/>
  <c r="H12" i="7"/>
  <c r="G12" i="7"/>
  <c r="F12" i="7"/>
  <c r="CP12" i="7" s="1"/>
  <c r="CX12" i="7" s="1"/>
  <c r="E12" i="7"/>
  <c r="CS11" i="7"/>
  <c r="DA11" i="7" s="1"/>
  <c r="CR11" i="7"/>
  <c r="CZ11" i="7" s="1"/>
  <c r="CQ11" i="7"/>
  <c r="CY11" i="7" s="1"/>
  <c r="CP11" i="7"/>
  <c r="CX11" i="7" s="1"/>
  <c r="CY10" i="7"/>
  <c r="CX10" i="7"/>
  <c r="CS10" i="7"/>
  <c r="DA10" i="7" s="1"/>
  <c r="CR10" i="7"/>
  <c r="CZ10" i="7" s="1"/>
  <c r="CQ10" i="7"/>
  <c r="CP10" i="7"/>
  <c r="CW9" i="7"/>
  <c r="CW12" i="7" s="1"/>
  <c r="CV9" i="7"/>
  <c r="CV12" i="7" s="1"/>
  <c r="CU9" i="7"/>
  <c r="CT9" i="7"/>
  <c r="CO9" i="7"/>
  <c r="CO12" i="7" s="1"/>
  <c r="CN9" i="7"/>
  <c r="CN12" i="7" s="1"/>
  <c r="CM9" i="7"/>
  <c r="CL9" i="7"/>
  <c r="CK9" i="7"/>
  <c r="CJ9" i="7"/>
  <c r="CI9" i="7"/>
  <c r="CH9" i="7"/>
  <c r="CH12" i="7" s="1"/>
  <c r="CG9" i="7"/>
  <c r="CG12" i="7" s="1"/>
  <c r="CF9" i="7"/>
  <c r="CF12" i="7" s="1"/>
  <c r="CE9" i="7"/>
  <c r="CD9" i="7"/>
  <c r="CC9" i="7"/>
  <c r="CB9" i="7"/>
  <c r="BY9" i="7"/>
  <c r="BX9" i="7"/>
  <c r="BX12" i="7" s="1"/>
  <c r="BW9" i="7"/>
  <c r="BW12" i="7" s="1"/>
  <c r="BV9" i="7"/>
  <c r="BV12" i="7" s="1"/>
  <c r="BU9" i="7"/>
  <c r="BT9" i="7"/>
  <c r="BS9" i="7"/>
  <c r="BR9" i="7"/>
  <c r="BQ9" i="7"/>
  <c r="BP9" i="7"/>
  <c r="BP12" i="7" s="1"/>
  <c r="BO9" i="7"/>
  <c r="BO12" i="7" s="1"/>
  <c r="BN9" i="7"/>
  <c r="BN12" i="7" s="1"/>
  <c r="BM9" i="7"/>
  <c r="BL9" i="7"/>
  <c r="BK9" i="7"/>
  <c r="BJ9" i="7"/>
  <c r="BI9" i="7"/>
  <c r="BH9" i="7"/>
  <c r="BH12" i="7" s="1"/>
  <c r="BG9" i="7"/>
  <c r="BG12" i="7" s="1"/>
  <c r="BF9" i="7"/>
  <c r="BF12" i="7" s="1"/>
  <c r="BE9" i="7"/>
  <c r="BD9" i="7"/>
  <c r="BC9" i="7"/>
  <c r="BB9" i="7"/>
  <c r="BA9" i="7"/>
  <c r="AZ9" i="7"/>
  <c r="AZ12" i="7" s="1"/>
  <c r="AY9" i="7"/>
  <c r="AY12" i="7" s="1"/>
  <c r="AX9" i="7"/>
  <c r="AX12" i="7" s="1"/>
  <c r="AW9" i="7"/>
  <c r="AV9" i="7"/>
  <c r="AU9" i="7"/>
  <c r="AT9" i="7"/>
  <c r="AS9" i="7"/>
  <c r="AR9" i="7"/>
  <c r="AR12" i="7" s="1"/>
  <c r="AQ9" i="7"/>
  <c r="AQ12" i="7" s="1"/>
  <c r="AP9" i="7"/>
  <c r="AP12" i="7" s="1"/>
  <c r="AO9" i="7"/>
  <c r="AN9" i="7"/>
  <c r="AM9" i="7"/>
  <c r="AL9" i="7"/>
  <c r="AK9" i="7"/>
  <c r="AJ9" i="7"/>
  <c r="AJ12" i="7" s="1"/>
  <c r="AI9" i="7"/>
  <c r="AI12" i="7" s="1"/>
  <c r="AH9" i="7"/>
  <c r="AH12" i="7" s="1"/>
  <c r="AG9" i="7"/>
  <c r="AF9" i="7"/>
  <c r="AE9" i="7"/>
  <c r="AD9" i="7"/>
  <c r="AC9" i="7"/>
  <c r="AB9" i="7"/>
  <c r="AB12" i="7" s="1"/>
  <c r="AA9" i="7"/>
  <c r="AA12" i="7" s="1"/>
  <c r="Z9" i="7"/>
  <c r="Z12" i="7" s="1"/>
  <c r="X9" i="7"/>
  <c r="W9" i="7"/>
  <c r="V9" i="7"/>
  <c r="U9" i="7"/>
  <c r="T9" i="7"/>
  <c r="T12" i="7" s="1"/>
  <c r="S9" i="7"/>
  <c r="S12" i="7" s="1"/>
  <c r="R9" i="7"/>
  <c r="R12" i="7" s="1"/>
  <c r="Q9" i="7"/>
  <c r="Q12" i="7" s="1"/>
  <c r="P9" i="7"/>
  <c r="O9" i="7"/>
  <c r="N9" i="7"/>
  <c r="M9" i="7"/>
  <c r="L9" i="7"/>
  <c r="L12" i="7" s="1"/>
  <c r="K9" i="7"/>
  <c r="K12" i="7" s="1"/>
  <c r="J9" i="7"/>
  <c r="J12" i="7" s="1"/>
  <c r="I9" i="7"/>
  <c r="CS9" i="7" s="1"/>
  <c r="DA9" i="7" s="1"/>
  <c r="H9" i="7"/>
  <c r="G9" i="7"/>
  <c r="F9" i="7"/>
  <c r="E9" i="7"/>
  <c r="D9" i="7"/>
  <c r="D12" i="7" s="1"/>
  <c r="C9" i="7"/>
  <c r="C12" i="7" s="1"/>
  <c r="CQ12" i="7" s="1"/>
  <c r="CY12" i="7" s="1"/>
  <c r="DA8" i="7"/>
  <c r="CZ8" i="7"/>
  <c r="CS8" i="7"/>
  <c r="CR8" i="7"/>
  <c r="CQ8" i="7"/>
  <c r="CY8" i="7" s="1"/>
  <c r="CP8" i="7"/>
  <c r="CX8" i="7" s="1"/>
  <c r="DA7" i="7"/>
  <c r="CZ7" i="7"/>
  <c r="CS7" i="7"/>
  <c r="CR7" i="7"/>
  <c r="CQ7" i="7"/>
  <c r="CY7" i="7" s="1"/>
  <c r="CP7" i="7"/>
  <c r="CX7" i="7" s="1"/>
  <c r="DA6" i="7"/>
  <c r="CZ6" i="7"/>
  <c r="CS6" i="7"/>
  <c r="CR6" i="7"/>
  <c r="CQ6" i="7"/>
  <c r="CY6" i="7" s="1"/>
  <c r="CP6" i="7"/>
  <c r="CX6" i="7" s="1"/>
  <c r="CP39" i="8" l="1"/>
  <c r="CR12" i="7"/>
  <c r="CZ12" i="7" s="1"/>
  <c r="CQ9" i="7"/>
  <c r="CY9" i="7" s="1"/>
  <c r="CR9" i="7"/>
  <c r="CZ9" i="7" s="1"/>
  <c r="I12" i="7"/>
  <c r="CS12" i="7" s="1"/>
  <c r="DA12" i="7" s="1"/>
  <c r="CP9" i="7"/>
  <c r="CX9" i="7" s="1"/>
  <c r="CW18" i="4"/>
  <c r="CU18" i="4"/>
  <c r="CW16" i="4"/>
  <c r="CV16" i="4"/>
  <c r="CV18" i="4" s="1"/>
  <c r="CU16" i="4"/>
  <c r="CT16" i="4"/>
  <c r="CT18" i="4" s="1"/>
  <c r="CW16" i="3"/>
  <c r="CW18" i="3" s="1"/>
  <c r="CV16" i="3"/>
  <c r="CV18" i="3" s="1"/>
  <c r="CU16" i="3"/>
  <c r="CU18" i="3" s="1"/>
  <c r="CT16" i="3"/>
  <c r="CT18" i="3" s="1"/>
  <c r="CW38" i="6" l="1"/>
  <c r="CV38" i="6"/>
  <c r="CU38" i="6"/>
  <c r="CT38" i="6"/>
  <c r="CO38" i="6"/>
  <c r="CN38" i="6"/>
  <c r="CM38" i="6"/>
  <c r="CL38" i="6"/>
  <c r="CJ38" i="6"/>
  <c r="CG38" i="6"/>
  <c r="CF38" i="6"/>
  <c r="CE38" i="6"/>
  <c r="CD38" i="6"/>
  <c r="CB38" i="6"/>
  <c r="BY38" i="6"/>
  <c r="BX38" i="6"/>
  <c r="BW38" i="6"/>
  <c r="BV38" i="6"/>
  <c r="BT38" i="6"/>
  <c r="BL38" i="6"/>
  <c r="BD38" i="6"/>
  <c r="AW38" i="6"/>
  <c r="AV38" i="6"/>
  <c r="AT38" i="6"/>
  <c r="CW36" i="6"/>
  <c r="CV36" i="6"/>
  <c r="CU36" i="6"/>
  <c r="CT36" i="6"/>
  <c r="CO36" i="6"/>
  <c r="CN36" i="6"/>
  <c r="CM36" i="6"/>
  <c r="CL36" i="6"/>
  <c r="CK36" i="6"/>
  <c r="CK38" i="6" s="1"/>
  <c r="CJ36" i="6"/>
  <c r="CI36" i="6"/>
  <c r="CI38" i="6" s="1"/>
  <c r="CH36" i="6"/>
  <c r="CH38" i="6" s="1"/>
  <c r="CG36" i="6"/>
  <c r="CF36" i="6"/>
  <c r="CE36" i="6"/>
  <c r="CD36" i="6"/>
  <c r="CC36" i="6"/>
  <c r="CC38" i="6" s="1"/>
  <c r="CB36" i="6"/>
  <c r="CA36" i="6"/>
  <c r="CA38" i="6" s="1"/>
  <c r="BZ36" i="6"/>
  <c r="BZ38" i="6" s="1"/>
  <c r="BT36" i="6"/>
  <c r="BS36" i="6"/>
  <c r="BS38" i="6" s="1"/>
  <c r="BR36" i="6"/>
  <c r="BR38" i="6" s="1"/>
  <c r="BQ36" i="6"/>
  <c r="BQ38" i="6" s="1"/>
  <c r="BL36" i="6"/>
  <c r="BK36" i="6"/>
  <c r="BK38" i="6" s="1"/>
  <c r="BJ36" i="6"/>
  <c r="BJ38" i="6" s="1"/>
  <c r="BI36" i="6"/>
  <c r="BI38" i="6" s="1"/>
  <c r="BD36" i="6"/>
  <c r="BC36" i="6"/>
  <c r="BC38" i="6" s="1"/>
  <c r="BB36" i="6"/>
  <c r="BB38" i="6" s="1"/>
  <c r="BA36" i="6"/>
  <c r="BA38" i="6" s="1"/>
  <c r="Y36" i="6"/>
  <c r="Y38" i="6" s="1"/>
  <c r="Q36" i="6"/>
  <c r="Q38" i="6" s="1"/>
  <c r="BU34" i="6"/>
  <c r="BU36" i="6" s="1"/>
  <c r="BU38" i="6" s="1"/>
  <c r="BT34" i="6"/>
  <c r="BS34" i="6"/>
  <c r="BR34" i="6"/>
  <c r="BQ34" i="6"/>
  <c r="BP34" i="6"/>
  <c r="BP36" i="6" s="1"/>
  <c r="BP38" i="6" s="1"/>
  <c r="BO34" i="6"/>
  <c r="BO36" i="6" s="1"/>
  <c r="BO38" i="6" s="1"/>
  <c r="BN34" i="6"/>
  <c r="BN36" i="6" s="1"/>
  <c r="BN38" i="6" s="1"/>
  <c r="BM34" i="6"/>
  <c r="BM36" i="6" s="1"/>
  <c r="BM38" i="6" s="1"/>
  <c r="BL34" i="6"/>
  <c r="BK34" i="6"/>
  <c r="BJ34" i="6"/>
  <c r="BI34" i="6"/>
  <c r="BH34" i="6"/>
  <c r="BH36" i="6" s="1"/>
  <c r="BH38" i="6" s="1"/>
  <c r="BG34" i="6"/>
  <c r="BG36" i="6" s="1"/>
  <c r="BG38" i="6" s="1"/>
  <c r="BF34" i="6"/>
  <c r="BF36" i="6" s="1"/>
  <c r="BF38" i="6" s="1"/>
  <c r="BE34" i="6"/>
  <c r="BE36" i="6" s="1"/>
  <c r="BE38" i="6" s="1"/>
  <c r="BD34" i="6"/>
  <c r="BC34" i="6"/>
  <c r="BB34" i="6"/>
  <c r="BA34" i="6"/>
  <c r="AZ34" i="6"/>
  <c r="AZ36" i="6" s="1"/>
  <c r="AZ38" i="6" s="1"/>
  <c r="AY34" i="6"/>
  <c r="AY36" i="6" s="1"/>
  <c r="AY38" i="6" s="1"/>
  <c r="AX34" i="6"/>
  <c r="AX36" i="6" s="1"/>
  <c r="AX38" i="6" s="1"/>
  <c r="AW34" i="6"/>
  <c r="AV34" i="6"/>
  <c r="AU34" i="6"/>
  <c r="AT34" i="6"/>
  <c r="AS34" i="6"/>
  <c r="AS36" i="6" s="1"/>
  <c r="AS38" i="6" s="1"/>
  <c r="AR34" i="6"/>
  <c r="AR36" i="6" s="1"/>
  <c r="AR38" i="6" s="1"/>
  <c r="AQ34" i="6"/>
  <c r="AQ36" i="6" s="1"/>
  <c r="AQ38" i="6" s="1"/>
  <c r="AP34" i="6"/>
  <c r="AP36" i="6" s="1"/>
  <c r="AP38" i="6" s="1"/>
  <c r="AO34" i="6"/>
  <c r="AO36" i="6" s="1"/>
  <c r="AO38" i="6" s="1"/>
  <c r="AN34" i="6"/>
  <c r="AN36" i="6" s="1"/>
  <c r="AN38" i="6" s="1"/>
  <c r="AM34" i="6"/>
  <c r="AM36" i="6" s="1"/>
  <c r="AM38" i="6" s="1"/>
  <c r="AL34" i="6"/>
  <c r="AL36" i="6" s="1"/>
  <c r="AL38" i="6" s="1"/>
  <c r="AK34" i="6"/>
  <c r="AK36" i="6" s="1"/>
  <c r="AK38" i="6" s="1"/>
  <c r="AJ34" i="6"/>
  <c r="AJ36" i="6" s="1"/>
  <c r="AJ38" i="6" s="1"/>
  <c r="AI34" i="6"/>
  <c r="AI36" i="6" s="1"/>
  <c r="AI38" i="6" s="1"/>
  <c r="AH34" i="6"/>
  <c r="AH36" i="6" s="1"/>
  <c r="AH38" i="6" s="1"/>
  <c r="AG34" i="6"/>
  <c r="AG36" i="6" s="1"/>
  <c r="AG38" i="6" s="1"/>
  <c r="AF34" i="6"/>
  <c r="AF36" i="6" s="1"/>
  <c r="AF38" i="6" s="1"/>
  <c r="AE34" i="6"/>
  <c r="AE36" i="6" s="1"/>
  <c r="AE38" i="6" s="1"/>
  <c r="AD34" i="6"/>
  <c r="AD36" i="6" s="1"/>
  <c r="AD38" i="6" s="1"/>
  <c r="AC34" i="6"/>
  <c r="AC36" i="6" s="1"/>
  <c r="AC38" i="6" s="1"/>
  <c r="AB34" i="6"/>
  <c r="AB36" i="6" s="1"/>
  <c r="AB38" i="6" s="1"/>
  <c r="AA34" i="6"/>
  <c r="AA36" i="6" s="1"/>
  <c r="AA38" i="6" s="1"/>
  <c r="Z34" i="6"/>
  <c r="Z36" i="6" s="1"/>
  <c r="Z38" i="6" s="1"/>
  <c r="Y34" i="6"/>
  <c r="X34" i="6"/>
  <c r="X36" i="6" s="1"/>
  <c r="X38" i="6" s="1"/>
  <c r="W34" i="6"/>
  <c r="W36" i="6" s="1"/>
  <c r="W38" i="6" s="1"/>
  <c r="V34" i="6"/>
  <c r="V36" i="6" s="1"/>
  <c r="V38" i="6" s="1"/>
  <c r="U34" i="6"/>
  <c r="U36" i="6" s="1"/>
  <c r="U38" i="6" s="1"/>
  <c r="T34" i="6"/>
  <c r="T36" i="6" s="1"/>
  <c r="T38" i="6" s="1"/>
  <c r="S34" i="6"/>
  <c r="S36" i="6" s="1"/>
  <c r="S38" i="6" s="1"/>
  <c r="R34" i="6"/>
  <c r="R36" i="6" s="1"/>
  <c r="R38" i="6" s="1"/>
  <c r="Q34" i="6"/>
  <c r="P34" i="6"/>
  <c r="P36" i="6" s="1"/>
  <c r="P38" i="6" s="1"/>
  <c r="O34" i="6"/>
  <c r="O36" i="6" s="1"/>
  <c r="O38" i="6" s="1"/>
  <c r="N34" i="6"/>
  <c r="N36" i="6" s="1"/>
  <c r="N38" i="6" s="1"/>
  <c r="M34" i="6"/>
  <c r="M36" i="6" s="1"/>
  <c r="M38" i="6" s="1"/>
  <c r="L34" i="6"/>
  <c r="L36" i="6" s="1"/>
  <c r="L38" i="6" s="1"/>
  <c r="K34" i="6"/>
  <c r="K36" i="6" s="1"/>
  <c r="K38" i="6" s="1"/>
  <c r="J34" i="6"/>
  <c r="J36" i="6" s="1"/>
  <c r="J38" i="6" s="1"/>
  <c r="I34" i="6"/>
  <c r="I36" i="6" s="1"/>
  <c r="I38" i="6" s="1"/>
  <c r="H34" i="6"/>
  <c r="H36" i="6" s="1"/>
  <c r="H38" i="6" s="1"/>
  <c r="G34" i="6"/>
  <c r="G36" i="6" s="1"/>
  <c r="G38" i="6" s="1"/>
  <c r="F34" i="6"/>
  <c r="F36" i="6" s="1"/>
  <c r="F38" i="6" s="1"/>
  <c r="E34" i="6"/>
  <c r="E36" i="6" s="1"/>
  <c r="D34" i="6"/>
  <c r="D36" i="6" s="1"/>
  <c r="C34" i="6"/>
  <c r="C36" i="6" s="1"/>
  <c r="B34" i="6"/>
  <c r="CP34" i="6" s="1"/>
  <c r="CX34" i="6" s="1"/>
  <c r="DA30" i="6"/>
  <c r="CS30" i="6"/>
  <c r="CR30" i="6"/>
  <c r="CZ30" i="6" s="1"/>
  <c r="CQ30" i="6"/>
  <c r="CY30" i="6" s="1"/>
  <c r="CP30" i="6"/>
  <c r="CX30" i="6" s="1"/>
  <c r="DA28" i="6"/>
  <c r="CS28" i="6"/>
  <c r="CR28" i="6"/>
  <c r="CZ28" i="6" s="1"/>
  <c r="CQ28" i="6"/>
  <c r="CY28" i="6" s="1"/>
  <c r="CP28" i="6"/>
  <c r="CX28" i="6" s="1"/>
  <c r="DA27" i="6"/>
  <c r="CS27" i="6"/>
  <c r="CR27" i="6"/>
  <c r="CZ27" i="6" s="1"/>
  <c r="CQ27" i="6"/>
  <c r="CY27" i="6" s="1"/>
  <c r="CP27" i="6"/>
  <c r="CX27" i="6" s="1"/>
  <c r="DA24" i="6"/>
  <c r="CS24" i="6"/>
  <c r="CR24" i="6"/>
  <c r="CZ24" i="6" s="1"/>
  <c r="CQ24" i="6"/>
  <c r="CY24" i="6" s="1"/>
  <c r="CP24" i="6"/>
  <c r="CX24" i="6" s="1"/>
  <c r="DA22" i="6"/>
  <c r="CS22" i="6"/>
  <c r="CR22" i="6"/>
  <c r="CZ22" i="6" s="1"/>
  <c r="CQ22" i="6"/>
  <c r="CY22" i="6" s="1"/>
  <c r="CP22" i="6"/>
  <c r="CX22" i="6" s="1"/>
  <c r="DA21" i="6"/>
  <c r="CS21" i="6"/>
  <c r="CR21" i="6"/>
  <c r="CZ21" i="6" s="1"/>
  <c r="CQ21" i="6"/>
  <c r="CY21" i="6" s="1"/>
  <c r="CP21" i="6"/>
  <c r="CX21" i="6" s="1"/>
  <c r="DA20" i="6"/>
  <c r="CS20" i="6"/>
  <c r="CR20" i="6"/>
  <c r="CZ20" i="6" s="1"/>
  <c r="CQ20" i="6"/>
  <c r="CY20" i="6" s="1"/>
  <c r="CP20" i="6"/>
  <c r="CX20" i="6" s="1"/>
  <c r="DA19" i="6"/>
  <c r="CS19" i="6"/>
  <c r="CR19" i="6"/>
  <c r="CZ19" i="6" s="1"/>
  <c r="CQ19" i="6"/>
  <c r="CY19" i="6" s="1"/>
  <c r="CP19" i="6"/>
  <c r="CX19" i="6" s="1"/>
  <c r="DA18" i="6"/>
  <c r="CS18" i="6"/>
  <c r="CR18" i="6"/>
  <c r="CZ18" i="6" s="1"/>
  <c r="CQ18" i="6"/>
  <c r="CY18" i="6" s="1"/>
  <c r="CP18" i="6"/>
  <c r="CX18" i="6" s="1"/>
  <c r="DA17" i="6"/>
  <c r="CS17" i="6"/>
  <c r="CR17" i="6"/>
  <c r="CZ17" i="6" s="1"/>
  <c r="CQ17" i="6"/>
  <c r="CY17" i="6" s="1"/>
  <c r="CP17" i="6"/>
  <c r="CX17" i="6" s="1"/>
  <c r="CZ16" i="6"/>
  <c r="CX16" i="6"/>
  <c r="CX15" i="6"/>
  <c r="CS15" i="6"/>
  <c r="DA15" i="6" s="1"/>
  <c r="CR15" i="6"/>
  <c r="CZ15" i="6" s="1"/>
  <c r="CQ15" i="6"/>
  <c r="CY15" i="6" s="1"/>
  <c r="CP15" i="6"/>
  <c r="CX14" i="6"/>
  <c r="CS14" i="6"/>
  <c r="DA14" i="6" s="1"/>
  <c r="CR14" i="6"/>
  <c r="CZ14" i="6" s="1"/>
  <c r="CQ14" i="6"/>
  <c r="CY14" i="6" s="1"/>
  <c r="CP14" i="6"/>
  <c r="CX13" i="6"/>
  <c r="CS13" i="6"/>
  <c r="DA13" i="6" s="1"/>
  <c r="CR13" i="6"/>
  <c r="CZ13" i="6" s="1"/>
  <c r="CQ13" i="6"/>
  <c r="CY13" i="6" s="1"/>
  <c r="CP13" i="6"/>
  <c r="CX12" i="6"/>
  <c r="CS12" i="6"/>
  <c r="DA12" i="6" s="1"/>
  <c r="CR12" i="6"/>
  <c r="CZ12" i="6" s="1"/>
  <c r="CQ12" i="6"/>
  <c r="CY12" i="6" s="1"/>
  <c r="CP12" i="6"/>
  <c r="CX11" i="6"/>
  <c r="CS11" i="6"/>
  <c r="DA11" i="6" s="1"/>
  <c r="CR11" i="6"/>
  <c r="CZ11" i="6" s="1"/>
  <c r="CQ11" i="6"/>
  <c r="CY11" i="6" s="1"/>
  <c r="CP11" i="6"/>
  <c r="CX10" i="6"/>
  <c r="CS10" i="6"/>
  <c r="DA10" i="6" s="1"/>
  <c r="CR10" i="6"/>
  <c r="CZ10" i="6" s="1"/>
  <c r="CQ10" i="6"/>
  <c r="CY10" i="6" s="1"/>
  <c r="CP10" i="6"/>
  <c r="CX8" i="6"/>
  <c r="CS8" i="6"/>
  <c r="DA8" i="6" s="1"/>
  <c r="CR8" i="6"/>
  <c r="CZ8" i="6" s="1"/>
  <c r="CQ8" i="6"/>
  <c r="CY8" i="6" s="1"/>
  <c r="CP8" i="6"/>
  <c r="CX7" i="6"/>
  <c r="CS7" i="6"/>
  <c r="DA7" i="6" s="1"/>
  <c r="CR7" i="6"/>
  <c r="CZ7" i="6" s="1"/>
  <c r="CQ7" i="6"/>
  <c r="CY7" i="6" s="1"/>
  <c r="CP7" i="6"/>
  <c r="CX6" i="6"/>
  <c r="CS6" i="6"/>
  <c r="DA6" i="6" s="1"/>
  <c r="CR6" i="6"/>
  <c r="CZ6" i="6" s="1"/>
  <c r="CQ6" i="6"/>
  <c r="CY6" i="6" s="1"/>
  <c r="CP6" i="6"/>
  <c r="CQ36" i="6" l="1"/>
  <c r="CY36" i="6" s="1"/>
  <c r="C38" i="6"/>
  <c r="CQ38" i="6" s="1"/>
  <c r="CY38" i="6" s="1"/>
  <c r="CR36" i="6"/>
  <c r="CZ36" i="6" s="1"/>
  <c r="D38" i="6"/>
  <c r="CR38" i="6" s="1"/>
  <c r="CZ38" i="6" s="1"/>
  <c r="CS36" i="6"/>
  <c r="DA36" i="6" s="1"/>
  <c r="E38" i="6"/>
  <c r="CS38" i="6" s="1"/>
  <c r="DA38" i="6" s="1"/>
  <c r="B36" i="6"/>
  <c r="CR34" i="6"/>
  <c r="CZ34" i="6" s="1"/>
  <c r="CS34" i="6"/>
  <c r="DA34" i="6" s="1"/>
  <c r="CQ34" i="6"/>
  <c r="CY34" i="6" s="1"/>
  <c r="CU14" i="5"/>
  <c r="CM14" i="5"/>
  <c r="BM14" i="5"/>
  <c r="BK14" i="5"/>
  <c r="BE14" i="5"/>
  <c r="AE14" i="5"/>
  <c r="AC14" i="5"/>
  <c r="W14" i="5"/>
  <c r="CK12" i="5"/>
  <c r="CE12" i="5"/>
  <c r="CC12" i="5"/>
  <c r="BU12" i="5"/>
  <c r="BF12" i="5"/>
  <c r="BE12" i="5"/>
  <c r="BC12" i="5"/>
  <c r="AV12" i="5"/>
  <c r="AU12" i="5"/>
  <c r="AN12" i="5"/>
  <c r="AF12" i="5"/>
  <c r="AE12" i="5"/>
  <c r="AC12" i="5"/>
  <c r="X12" i="5"/>
  <c r="CW10" i="5"/>
  <c r="CW14" i="5" s="1"/>
  <c r="CV10" i="5"/>
  <c r="CU10" i="5"/>
  <c r="CU12" i="5" s="1"/>
  <c r="CT10" i="5"/>
  <c r="CT14" i="5" s="1"/>
  <c r="CS10" i="5"/>
  <c r="DA10" i="5" s="1"/>
  <c r="CO10" i="5"/>
  <c r="CO12" i="5" s="1"/>
  <c r="CN10" i="5"/>
  <c r="CM10" i="5"/>
  <c r="CM12" i="5" s="1"/>
  <c r="CL10" i="5"/>
  <c r="CL14" i="5" s="1"/>
  <c r="CK10" i="5"/>
  <c r="CK14" i="5" s="1"/>
  <c r="CJ10" i="5"/>
  <c r="CJ14" i="5" s="1"/>
  <c r="CI10" i="5"/>
  <c r="CI14" i="5" s="1"/>
  <c r="CH10" i="5"/>
  <c r="CH14" i="5" s="1"/>
  <c r="CG10" i="5"/>
  <c r="CG14" i="5" s="1"/>
  <c r="CF10" i="5"/>
  <c r="CE10" i="5"/>
  <c r="CE14" i="5" s="1"/>
  <c r="CD10" i="5"/>
  <c r="CD14" i="5" s="1"/>
  <c r="CC10" i="5"/>
  <c r="CC14" i="5" s="1"/>
  <c r="CB10" i="5"/>
  <c r="CB14" i="5" s="1"/>
  <c r="BY10" i="5"/>
  <c r="BY14" i="5" s="1"/>
  <c r="BX10" i="5"/>
  <c r="BX14" i="5" s="1"/>
  <c r="BW10" i="5"/>
  <c r="BW12" i="5" s="1"/>
  <c r="BV10" i="5"/>
  <c r="BU10" i="5"/>
  <c r="BU14" i="5" s="1"/>
  <c r="BT10" i="5"/>
  <c r="BT14" i="5" s="1"/>
  <c r="BS10" i="5"/>
  <c r="BS14" i="5" s="1"/>
  <c r="BR10" i="5"/>
  <c r="BR14" i="5" s="1"/>
  <c r="BQ10" i="5"/>
  <c r="BQ14" i="5" s="1"/>
  <c r="BP10" i="5"/>
  <c r="BP14" i="5" s="1"/>
  <c r="BO10" i="5"/>
  <c r="BO12" i="5" s="1"/>
  <c r="BN10" i="5"/>
  <c r="BM10" i="5"/>
  <c r="BM12" i="5" s="1"/>
  <c r="BL10" i="5"/>
  <c r="BL14" i="5" s="1"/>
  <c r="BK10" i="5"/>
  <c r="BK12" i="5" s="1"/>
  <c r="BJ10" i="5"/>
  <c r="BJ14" i="5" s="1"/>
  <c r="BI10" i="5"/>
  <c r="BI14" i="5" s="1"/>
  <c r="BH10" i="5"/>
  <c r="BH14" i="5" s="1"/>
  <c r="BG10" i="5"/>
  <c r="BG12" i="5" s="1"/>
  <c r="BF10" i="5"/>
  <c r="BF14" i="5" s="1"/>
  <c r="BE10" i="5"/>
  <c r="BD10" i="5"/>
  <c r="BD14" i="5" s="1"/>
  <c r="BC10" i="5"/>
  <c r="BC14" i="5" s="1"/>
  <c r="BB10" i="5"/>
  <c r="BB14" i="5" s="1"/>
  <c r="BA10" i="5"/>
  <c r="BA14" i="5" s="1"/>
  <c r="AZ10" i="5"/>
  <c r="AZ14" i="5" s="1"/>
  <c r="AW10" i="5"/>
  <c r="AW14" i="5" s="1"/>
  <c r="AV10" i="5"/>
  <c r="AV14" i="5" s="1"/>
  <c r="AU10" i="5"/>
  <c r="AU14" i="5" s="1"/>
  <c r="AT10" i="5"/>
  <c r="AT14" i="5" s="1"/>
  <c r="AS10" i="5"/>
  <c r="AS12" i="5" s="1"/>
  <c r="AR10" i="5"/>
  <c r="AR14" i="5" s="1"/>
  <c r="AQ10" i="5"/>
  <c r="AQ14" i="5" s="1"/>
  <c r="AP10" i="5"/>
  <c r="AP14" i="5" s="1"/>
  <c r="AO10" i="5"/>
  <c r="AO14" i="5" s="1"/>
  <c r="AN10" i="5"/>
  <c r="AN14" i="5" s="1"/>
  <c r="AM10" i="5"/>
  <c r="AM12" i="5" s="1"/>
  <c r="AL10" i="5"/>
  <c r="AL14" i="5" s="1"/>
  <c r="AK10" i="5"/>
  <c r="AK14" i="5" s="1"/>
  <c r="AJ10" i="5"/>
  <c r="AJ14" i="5" s="1"/>
  <c r="AI10" i="5"/>
  <c r="AI14" i="5" s="1"/>
  <c r="AH10" i="5"/>
  <c r="AH14" i="5" s="1"/>
  <c r="AG10" i="5"/>
  <c r="AG12" i="5" s="1"/>
  <c r="AF10" i="5"/>
  <c r="AF14" i="5" s="1"/>
  <c r="AE10" i="5"/>
  <c r="AD10" i="5"/>
  <c r="AD14" i="5" s="1"/>
  <c r="AC10" i="5"/>
  <c r="AB10" i="5"/>
  <c r="AB14" i="5" s="1"/>
  <c r="AA10" i="5"/>
  <c r="AA14" i="5" s="1"/>
  <c r="Z10" i="5"/>
  <c r="Z14" i="5" s="1"/>
  <c r="Y10" i="5"/>
  <c r="Y14" i="5" s="1"/>
  <c r="X10" i="5"/>
  <c r="W10" i="5"/>
  <c r="CQ10" i="5" s="1"/>
  <c r="CY10" i="5" s="1"/>
  <c r="V10" i="5"/>
  <c r="CP10" i="5" s="1"/>
  <c r="CX10" i="5" s="1"/>
  <c r="DA9" i="5"/>
  <c r="CS9" i="5"/>
  <c r="CR9" i="5"/>
  <c r="CZ9" i="5" s="1"/>
  <c r="CQ9" i="5"/>
  <c r="CY9" i="5" s="1"/>
  <c r="CP9" i="5"/>
  <c r="CX9" i="5" s="1"/>
  <c r="DA8" i="5"/>
  <c r="CS8" i="5"/>
  <c r="CR8" i="5"/>
  <c r="CZ8" i="5" s="1"/>
  <c r="CQ8" i="5"/>
  <c r="CY8" i="5" s="1"/>
  <c r="CP8" i="5"/>
  <c r="CX8" i="5" s="1"/>
  <c r="DA7" i="5"/>
  <c r="CS7" i="5"/>
  <c r="CR7" i="5"/>
  <c r="CZ7" i="5" s="1"/>
  <c r="CQ7" i="5"/>
  <c r="CY7" i="5" s="1"/>
  <c r="CP7" i="5"/>
  <c r="CX7" i="5" s="1"/>
  <c r="CP36" i="6" l="1"/>
  <c r="CX36" i="6" s="1"/>
  <c r="B38" i="6"/>
  <c r="CP38" i="6" s="1"/>
  <c r="CX38" i="6" s="1"/>
  <c r="CV14" i="5"/>
  <c r="CV12" i="5"/>
  <c r="AK12" i="5"/>
  <c r="AM14" i="5"/>
  <c r="CQ14" i="5" s="1"/>
  <c r="CY14" i="5" s="1"/>
  <c r="AS14" i="5"/>
  <c r="CR10" i="5"/>
  <c r="CZ10" i="5" s="1"/>
  <c r="X14" i="5"/>
  <c r="CR14" i="5" s="1"/>
  <c r="CZ14" i="5" s="1"/>
  <c r="BN14" i="5"/>
  <c r="BN12" i="5"/>
  <c r="BV12" i="5"/>
  <c r="BV14" i="5"/>
  <c r="CF14" i="5"/>
  <c r="CF12" i="5"/>
  <c r="CN12" i="5"/>
  <c r="CN14" i="5"/>
  <c r="W12" i="5"/>
  <c r="BS12" i="5"/>
  <c r="V12" i="5"/>
  <c r="AD12" i="5"/>
  <c r="AL12" i="5"/>
  <c r="AT12" i="5"/>
  <c r="BD12" i="5"/>
  <c r="BL12" i="5"/>
  <c r="BT12" i="5"/>
  <c r="CD12" i="5"/>
  <c r="CL12" i="5"/>
  <c r="CT12" i="5"/>
  <c r="V14" i="5"/>
  <c r="Y12" i="5"/>
  <c r="AW12" i="5"/>
  <c r="CG12" i="5"/>
  <c r="CW12" i="5"/>
  <c r="AG14" i="5"/>
  <c r="CS14" i="5" s="1"/>
  <c r="DA14" i="5" s="1"/>
  <c r="BG14" i="5"/>
  <c r="BO14" i="5"/>
  <c r="BW14" i="5"/>
  <c r="CO14" i="5"/>
  <c r="AO12" i="5"/>
  <c r="Z12" i="5"/>
  <c r="AH12" i="5"/>
  <c r="AP12" i="5"/>
  <c r="AZ12" i="5"/>
  <c r="BH12" i="5"/>
  <c r="BP12" i="5"/>
  <c r="BX12" i="5"/>
  <c r="CH12" i="5"/>
  <c r="AA12" i="5"/>
  <c r="AI12" i="5"/>
  <c r="AQ12" i="5"/>
  <c r="BA12" i="5"/>
  <c r="BI12" i="5"/>
  <c r="BQ12" i="5"/>
  <c r="BY12" i="5"/>
  <c r="CI12" i="5"/>
  <c r="AB12" i="5"/>
  <c r="AJ12" i="5"/>
  <c r="AR12" i="5"/>
  <c r="CR12" i="5" s="1"/>
  <c r="CZ12" i="5" s="1"/>
  <c r="BB12" i="5"/>
  <c r="BJ12" i="5"/>
  <c r="BR12" i="5"/>
  <c r="CB12" i="5"/>
  <c r="CJ12" i="5"/>
  <c r="CS6" i="1"/>
  <c r="CS7" i="1"/>
  <c r="CS8" i="1"/>
  <c r="CS9" i="1"/>
  <c r="CS10" i="1"/>
  <c r="CS11" i="1"/>
  <c r="CS12" i="1"/>
  <c r="CS13" i="1"/>
  <c r="CS14" i="1"/>
  <c r="CR6" i="1"/>
  <c r="CR7" i="1"/>
  <c r="CR8" i="1"/>
  <c r="CR9" i="1"/>
  <c r="CR10" i="1"/>
  <c r="CR11" i="1"/>
  <c r="CR12" i="1"/>
  <c r="CR13" i="1"/>
  <c r="CR14" i="1"/>
  <c r="CQ6" i="1"/>
  <c r="CQ7" i="1"/>
  <c r="CQ8" i="1"/>
  <c r="CQ9" i="1"/>
  <c r="CQ10" i="1"/>
  <c r="CQ11" i="1"/>
  <c r="CQ12" i="1"/>
  <c r="CQ13" i="1"/>
  <c r="CQ14" i="1"/>
  <c r="CP6" i="1"/>
  <c r="CP7" i="1"/>
  <c r="CP8" i="1"/>
  <c r="CP9" i="1"/>
  <c r="CP10" i="1"/>
  <c r="CP11" i="1"/>
  <c r="CP12" i="1"/>
  <c r="CP13" i="1"/>
  <c r="CP14" i="1"/>
  <c r="CS18" i="4"/>
  <c r="DA18" i="4" s="1"/>
  <c r="CQ18" i="4"/>
  <c r="CY18" i="4" s="1"/>
  <c r="CP18" i="4"/>
  <c r="CX18" i="4" s="1"/>
  <c r="CK18" i="4"/>
  <c r="CJ18" i="4"/>
  <c r="CR18" i="4" s="1"/>
  <c r="CZ18" i="4" s="1"/>
  <c r="CI18" i="4"/>
  <c r="CH18" i="4"/>
  <c r="DA17" i="4"/>
  <c r="CY17" i="4"/>
  <c r="CX17" i="4"/>
  <c r="CS17" i="4"/>
  <c r="CR17" i="4"/>
  <c r="CZ17" i="4" s="1"/>
  <c r="CQ17" i="4"/>
  <c r="CP17" i="4"/>
  <c r="CR16" i="4"/>
  <c r="CZ16" i="4" s="1"/>
  <c r="CK16" i="4"/>
  <c r="CS16" i="4" s="1"/>
  <c r="DA16" i="4" s="1"/>
  <c r="CJ16" i="4"/>
  <c r="CI16" i="4"/>
  <c r="CQ16" i="4" s="1"/>
  <c r="CY16" i="4" s="1"/>
  <c r="CH16" i="4"/>
  <c r="CP16" i="4" s="1"/>
  <c r="CX16" i="4" s="1"/>
  <c r="CZ15" i="4"/>
  <c r="CS15" i="4"/>
  <c r="DA15" i="4" s="1"/>
  <c r="CR15" i="4"/>
  <c r="CQ15" i="4"/>
  <c r="CY15" i="4" s="1"/>
  <c r="CP15" i="4"/>
  <c r="CX15" i="4" s="1"/>
  <c r="CZ14" i="4"/>
  <c r="CS14" i="4"/>
  <c r="DA14" i="4" s="1"/>
  <c r="CR14" i="4"/>
  <c r="CQ14" i="4"/>
  <c r="CY14" i="4" s="1"/>
  <c r="CP14" i="4"/>
  <c r="CX14" i="4" s="1"/>
  <c r="CZ13" i="4"/>
  <c r="CS13" i="4"/>
  <c r="DA13" i="4" s="1"/>
  <c r="CR13" i="4"/>
  <c r="CQ13" i="4"/>
  <c r="CY13" i="4" s="1"/>
  <c r="CP13" i="4"/>
  <c r="CX13" i="4" s="1"/>
  <c r="CZ12" i="4"/>
  <c r="CS12" i="4"/>
  <c r="DA12" i="4" s="1"/>
  <c r="CR12" i="4"/>
  <c r="CQ12" i="4"/>
  <c r="CY12" i="4" s="1"/>
  <c r="CP12" i="4"/>
  <c r="CX12" i="4" s="1"/>
  <c r="CZ11" i="4"/>
  <c r="CS11" i="4"/>
  <c r="DA11" i="4" s="1"/>
  <c r="CR11" i="4"/>
  <c r="CQ11" i="4"/>
  <c r="CY11" i="4" s="1"/>
  <c r="CP11" i="4"/>
  <c r="CX11" i="4" s="1"/>
  <c r="CK11" i="4"/>
  <c r="DA10" i="4"/>
  <c r="CX10" i="4"/>
  <c r="CS10" i="4"/>
  <c r="CR10" i="4"/>
  <c r="CZ10" i="4" s="1"/>
  <c r="CQ10" i="4"/>
  <c r="CY10" i="4" s="1"/>
  <c r="CP10" i="4"/>
  <c r="DA9" i="4"/>
  <c r="CX9" i="4"/>
  <c r="CS9" i="4"/>
  <c r="CR9" i="4"/>
  <c r="CZ9" i="4" s="1"/>
  <c r="CQ9" i="4"/>
  <c r="CY9" i="4" s="1"/>
  <c r="CP9" i="4"/>
  <c r="CX8" i="4"/>
  <c r="CS8" i="4"/>
  <c r="DA8" i="4" s="1"/>
  <c r="CR8" i="4"/>
  <c r="CZ8" i="4" s="1"/>
  <c r="CQ8" i="4"/>
  <c r="CY8" i="4" s="1"/>
  <c r="CP8" i="4"/>
  <c r="CX7" i="4"/>
  <c r="CS7" i="4"/>
  <c r="DA7" i="4" s="1"/>
  <c r="CR7" i="4"/>
  <c r="CZ7" i="4" s="1"/>
  <c r="CQ7" i="4"/>
  <c r="CY7" i="4" s="1"/>
  <c r="CP7" i="4"/>
  <c r="CX6" i="4"/>
  <c r="CS6" i="4"/>
  <c r="DA6" i="4" s="1"/>
  <c r="CR6" i="4"/>
  <c r="CZ6" i="4" s="1"/>
  <c r="CQ6" i="4"/>
  <c r="CY6" i="4" s="1"/>
  <c r="CP6" i="4"/>
  <c r="CX5" i="4"/>
  <c r="CS5" i="4"/>
  <c r="DA5" i="4" s="1"/>
  <c r="CR5" i="4"/>
  <c r="CZ5" i="4" s="1"/>
  <c r="CQ5" i="4"/>
  <c r="CY5" i="4" s="1"/>
  <c r="CP5" i="4"/>
  <c r="DA18" i="3"/>
  <c r="CS18" i="3"/>
  <c r="CR18" i="3"/>
  <c r="CZ18" i="3" s="1"/>
  <c r="CQ18" i="3"/>
  <c r="CY18" i="3" s="1"/>
  <c r="CP18" i="3"/>
  <c r="CX18" i="3" s="1"/>
  <c r="DA17" i="3"/>
  <c r="CS17" i="3"/>
  <c r="CR17" i="3"/>
  <c r="CZ17" i="3" s="1"/>
  <c r="CQ17" i="3"/>
  <c r="CY17" i="3" s="1"/>
  <c r="CP17" i="3"/>
  <c r="CX17" i="3" s="1"/>
  <c r="DA16" i="3"/>
  <c r="CS16" i="3"/>
  <c r="CR16" i="3"/>
  <c r="CZ16" i="3" s="1"/>
  <c r="CQ16" i="3"/>
  <c r="CY16" i="3" s="1"/>
  <c r="CP16" i="3"/>
  <c r="CX16" i="3" s="1"/>
  <c r="CE16" i="3"/>
  <c r="CS15" i="3"/>
  <c r="DA15" i="3" s="1"/>
  <c r="CR15" i="3"/>
  <c r="CZ15" i="3" s="1"/>
  <c r="CQ15" i="3"/>
  <c r="CY15" i="3" s="1"/>
  <c r="CP15" i="3"/>
  <c r="CX15" i="3" s="1"/>
  <c r="CS14" i="3"/>
  <c r="DA14" i="3" s="1"/>
  <c r="CR14" i="3"/>
  <c r="CZ14" i="3" s="1"/>
  <c r="CQ14" i="3"/>
  <c r="CY14" i="3" s="1"/>
  <c r="CP14" i="3"/>
  <c r="CX14" i="3" s="1"/>
  <c r="CS13" i="3"/>
  <c r="DA13" i="3" s="1"/>
  <c r="CR13" i="3"/>
  <c r="CZ13" i="3" s="1"/>
  <c r="CQ13" i="3"/>
  <c r="CY13" i="3" s="1"/>
  <c r="CP13" i="3"/>
  <c r="CX13" i="3" s="1"/>
  <c r="CS12" i="3"/>
  <c r="DA12" i="3" s="1"/>
  <c r="CR12" i="3"/>
  <c r="CZ12" i="3" s="1"/>
  <c r="CQ12" i="3"/>
  <c r="CY12" i="3" s="1"/>
  <c r="CP12" i="3"/>
  <c r="CX12" i="3" s="1"/>
  <c r="CS11" i="3"/>
  <c r="DA11" i="3" s="1"/>
  <c r="CR11" i="3"/>
  <c r="CZ11" i="3" s="1"/>
  <c r="CQ11" i="3"/>
  <c r="CY11" i="3" s="1"/>
  <c r="CP11" i="3"/>
  <c r="CX11" i="3" s="1"/>
  <c r="CS10" i="3"/>
  <c r="DA10" i="3" s="1"/>
  <c r="CR10" i="3"/>
  <c r="CZ10" i="3" s="1"/>
  <c r="CQ10" i="3"/>
  <c r="CY10" i="3" s="1"/>
  <c r="CP10" i="3"/>
  <c r="CX10" i="3" s="1"/>
  <c r="CS9" i="3"/>
  <c r="DA9" i="3" s="1"/>
  <c r="CR9" i="3"/>
  <c r="CZ9" i="3" s="1"/>
  <c r="CQ9" i="3"/>
  <c r="CY9" i="3" s="1"/>
  <c r="CP9" i="3"/>
  <c r="CX9" i="3" s="1"/>
  <c r="CS8" i="3"/>
  <c r="DA8" i="3" s="1"/>
  <c r="CR8" i="3"/>
  <c r="CZ8" i="3" s="1"/>
  <c r="CQ8" i="3"/>
  <c r="CY8" i="3" s="1"/>
  <c r="CP8" i="3"/>
  <c r="CX8" i="3" s="1"/>
  <c r="CS7" i="3"/>
  <c r="DA7" i="3" s="1"/>
  <c r="CR7" i="3"/>
  <c r="CZ7" i="3" s="1"/>
  <c r="CQ7" i="3"/>
  <c r="CY7" i="3" s="1"/>
  <c r="CP7" i="3"/>
  <c r="CX7" i="3" s="1"/>
  <c r="CS6" i="3"/>
  <c r="DA6" i="3" s="1"/>
  <c r="CR6" i="3"/>
  <c r="CZ6" i="3" s="1"/>
  <c r="CQ6" i="3"/>
  <c r="CY6" i="3" s="1"/>
  <c r="CP6" i="3"/>
  <c r="CX6" i="3" s="1"/>
  <c r="CS5" i="3"/>
  <c r="DA5" i="3" s="1"/>
  <c r="CR5" i="3"/>
  <c r="CZ5" i="3" s="1"/>
  <c r="CQ5" i="3"/>
  <c r="CY5" i="3" s="1"/>
  <c r="CP5" i="3"/>
  <c r="CX5" i="3" s="1"/>
  <c r="CS12" i="5" l="1"/>
  <c r="DA12" i="5" s="1"/>
  <c r="CP14" i="5"/>
  <c r="CX14" i="5" s="1"/>
  <c r="CP12" i="5"/>
  <c r="CX12" i="5" s="1"/>
  <c r="CQ12" i="5"/>
  <c r="CY12" i="5" s="1"/>
  <c r="CX6" i="1"/>
  <c r="CY6" i="1"/>
  <c r="CZ6" i="1"/>
  <c r="DA6" i="1"/>
  <c r="CX7" i="1"/>
  <c r="CY7" i="1"/>
  <c r="CZ7" i="1"/>
  <c r="DA7" i="1"/>
  <c r="CX8" i="1"/>
  <c r="CZ8" i="1"/>
  <c r="DA8" i="1"/>
  <c r="CX9" i="1"/>
  <c r="CY9" i="1"/>
  <c r="CZ9" i="1"/>
  <c r="DA9" i="1"/>
  <c r="CX10" i="1"/>
  <c r="CY10" i="1"/>
  <c r="CZ10" i="1"/>
  <c r="DA10" i="1"/>
  <c r="CX11" i="1"/>
  <c r="CY11" i="1"/>
  <c r="CZ11" i="1"/>
  <c r="DA11" i="1"/>
  <c r="CX12" i="1"/>
  <c r="CY12" i="1"/>
  <c r="CZ12" i="1"/>
  <c r="DA12" i="1"/>
  <c r="CX13" i="1"/>
  <c r="CY13" i="1"/>
  <c r="CZ13" i="1"/>
  <c r="DA13" i="1"/>
  <c r="CX14" i="1"/>
  <c r="CZ14" i="1"/>
  <c r="DA14" i="1"/>
  <c r="CZ14" i="2" l="1"/>
  <c r="CY14" i="2"/>
  <c r="CX14" i="2"/>
  <c r="CS14" i="2"/>
  <c r="DA14" i="2" s="1"/>
  <c r="CR14" i="2"/>
  <c r="CQ14" i="2"/>
  <c r="CP14" i="2"/>
  <c r="DA13" i="2"/>
  <c r="CZ13" i="2"/>
  <c r="CY13" i="2"/>
  <c r="CX13" i="2"/>
  <c r="DA12" i="2"/>
  <c r="CS12" i="2"/>
  <c r="CR12" i="2"/>
  <c r="CZ12" i="2" s="1"/>
  <c r="CQ12" i="2"/>
  <c r="CY12" i="2" s="1"/>
  <c r="CP12" i="2"/>
  <c r="CX12" i="2" s="1"/>
  <c r="DA11" i="2"/>
  <c r="CS11" i="2"/>
  <c r="CR11" i="2"/>
  <c r="CZ11" i="2" s="1"/>
  <c r="CQ11" i="2"/>
  <c r="CY11" i="2" s="1"/>
  <c r="CP11" i="2"/>
  <c r="CX11" i="2" s="1"/>
  <c r="DA10" i="2"/>
  <c r="CS10" i="2"/>
  <c r="CR10" i="2"/>
  <c r="CZ10" i="2" s="1"/>
  <c r="CQ10" i="2"/>
  <c r="CY10" i="2" s="1"/>
  <c r="CP10" i="2"/>
  <c r="CX10" i="2" s="1"/>
  <c r="DA9" i="2"/>
  <c r="CY9" i="2"/>
  <c r="CS9" i="2"/>
  <c r="CR9" i="2"/>
  <c r="CZ9" i="2" s="1"/>
  <c r="CP9" i="2"/>
  <c r="CX9" i="2" s="1"/>
  <c r="DA8" i="2"/>
  <c r="CZ8" i="2"/>
  <c r="CS8" i="2"/>
  <c r="CR8" i="2"/>
  <c r="CQ8" i="2"/>
  <c r="CY8" i="2" s="1"/>
  <c r="CP8" i="2"/>
  <c r="CX8" i="2" s="1"/>
  <c r="DA7" i="2"/>
  <c r="CZ7" i="2"/>
  <c r="CS7" i="2"/>
  <c r="CR7" i="2"/>
  <c r="CQ7" i="2"/>
  <c r="CY7" i="2" s="1"/>
  <c r="CP7" i="2"/>
  <c r="CX7" i="2" s="1"/>
  <c r="DA6" i="2"/>
  <c r="CZ6" i="2"/>
  <c r="CS6" i="2"/>
  <c r="CR6" i="2"/>
  <c r="CQ6" i="2"/>
  <c r="CY6" i="2" s="1"/>
  <c r="CP6" i="2"/>
  <c r="CX6" i="2" s="1"/>
  <c r="DA5" i="2"/>
  <c r="CZ5" i="2"/>
  <c r="CS5" i="2"/>
  <c r="CR5" i="2"/>
  <c r="CQ5" i="2"/>
  <c r="CY5" i="2" s="1"/>
  <c r="CP5" i="2"/>
  <c r="CX5" i="2" s="1"/>
  <c r="CY14" i="1"/>
  <c r="CY8" i="1"/>
  <c r="CS5" i="1"/>
  <c r="DA5" i="1" s="1"/>
  <c r="CR5" i="1"/>
  <c r="CZ5" i="1" s="1"/>
  <c r="CQ5" i="1"/>
  <c r="CY5" i="1" s="1"/>
  <c r="CP5" i="1"/>
  <c r="CX5" i="1" s="1"/>
</calcChain>
</file>

<file path=xl/sharedStrings.xml><?xml version="1.0" encoding="utf-8"?>
<sst xmlns="http://schemas.openxmlformats.org/spreadsheetml/2006/main" count="2334" uniqueCount="380">
  <si>
    <t>L37:BUSINESS ACQUISITION THROUGH DIFFERENT CHANNELS (GROUP) FPI</t>
  </si>
  <si>
    <t>Particulars</t>
  </si>
  <si>
    <t>Private Total</t>
  </si>
  <si>
    <t>Grand Total</t>
  </si>
  <si>
    <t>For Q3 1819</t>
  </si>
  <si>
    <t>For Q3 1718</t>
  </si>
  <si>
    <t>Upto Q3 1819</t>
  </si>
  <si>
    <t>Upto Q3 1718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</si>
  <si>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</si>
  <si>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</si>
  <si>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</si>
  <si>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</si>
  <si>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</si>
  <si>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</si>
  <si>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</si>
  <si>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</si>
  <si>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</si>
  <si>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</si>
  <si>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</si>
  <si>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-</t>
  </si>
  <si>
    <t>Channels</t>
  </si>
  <si>
    <t>CSC</t>
  </si>
  <si>
    <t>POS</t>
  </si>
  <si>
    <t>IMF</t>
  </si>
  <si>
    <t>Online</t>
  </si>
  <si>
    <t>Web Aggregators</t>
  </si>
  <si>
    <t>Total (A)</t>
  </si>
  <si>
    <t>L38::BUSINESS ACQUISITION THROUGH DIFFERENT CHANNELS (Individual) FPI</t>
  </si>
  <si>
    <t>onine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</si>
  <si>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</si>
  <si>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</si>
  <si>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</si>
  <si>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</si>
  <si>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</si>
  <si>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</si>
  <si>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</si>
  <si>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</si>
  <si>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</si>
  <si>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</si>
  <si>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</si>
  <si>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</si>
  <si>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</si>
  <si>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</si>
  <si>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</si>
  <si>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</si>
  <si>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</si>
  <si>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</si>
  <si>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</si>
  <si>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</si>
  <si>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</si>
  <si>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</si>
  <si>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</si>
  <si>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</si>
  <si>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</si>
  <si>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</si>
  <si>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</si>
  <si>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</si>
  <si>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</si>
  <si>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</si>
  <si>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</si>
  <si>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</si>
  <si>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</si>
  <si>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</si>
  <si>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</si>
  <si>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</si>
  <si>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</si>
  <si>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</si>
  <si>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(in 000)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</si>
  <si>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</si>
  <si>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</si>
  <si>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</si>
  <si>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</si>
  <si>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</si>
  <si>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</si>
  <si>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</si>
  <si>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</si>
  <si>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</si>
  <si>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</si>
  <si>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</si>
  <si>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</si>
  <si>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</si>
  <si>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</si>
  <si>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</si>
  <si>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</si>
  <si>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>(Amount in '000)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</si>
  <si>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</si>
  <si>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</si>
  <si>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</si>
  <si>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</si>
  <si>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</si>
  <si>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</si>
  <si>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</si>
  <si>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</si>
  <si>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</si>
  <si>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</si>
  <si>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</si>
  <si>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</si>
  <si>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</si>
  <si>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</si>
  <si>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</si>
  <si>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</si>
  <si>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</si>
  <si>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</si>
  <si>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</si>
  <si>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</si>
  <si>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</si>
  <si>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</si>
  <si>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</si>
  <si>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</si>
  <si>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</si>
  <si>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</si>
  <si>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</si>
  <si>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</si>
  <si>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</si>
  <si>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</si>
  <si>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</si>
  <si>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</si>
  <si>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</si>
  <si>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</si>
  <si>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</si>
  <si>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</si>
  <si>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Adjusted Value Dec 2018</t>
  </si>
  <si>
    <t>Adjusted Value Dec 2017</t>
  </si>
  <si>
    <t>Available Assets in Policyholders' Fund:</t>
  </si>
  <si>
    <t>Deduct:</t>
  </si>
  <si>
    <t xml:space="preserve">Mathematical Reserves </t>
  </si>
  <si>
    <t xml:space="preserve">Other Liabilities </t>
  </si>
  <si>
    <t>Excess in  Policyholders' funds (01-02-03)</t>
  </si>
  <si>
    <t xml:space="preserve">Available Assets in Shareholders Fund: </t>
  </si>
  <si>
    <t>Other Liabilities of shareholders' fund</t>
  </si>
  <si>
    <t>Excess in Shareholders' funds (05-06)</t>
  </si>
  <si>
    <t>Total ASM (04)+(07)</t>
  </si>
  <si>
    <t>Total RSM</t>
  </si>
  <si>
    <t>Solvency Ratio (ASM/RSM)</t>
  </si>
  <si>
    <t>Claims Experience</t>
  </si>
  <si>
    <t>For Death</t>
  </si>
  <si>
    <t>For Maturity</t>
  </si>
  <si>
    <t>Survival Benefit</t>
  </si>
  <si>
    <t>For Annuities/ Pension</t>
  </si>
  <si>
    <t>For Surrender</t>
  </si>
  <si>
    <t>Other Benefits*</t>
  </si>
  <si>
    <t>Claims O/S at the beginning of the period</t>
  </si>
  <si>
    <t>Unclaimed adjusted from Opening Balance</t>
  </si>
  <si>
    <t>Claims reported during the period</t>
  </si>
  <si>
    <t>Claims Settled during the period **</t>
  </si>
  <si>
    <t>Claims Repudiated during the period</t>
  </si>
  <si>
    <t>a)  Less than 2 years from the date of acceptance of risk</t>
  </si>
  <si>
    <t>b) Greater than 2 year from the date of acceptance of risk</t>
  </si>
  <si>
    <t>Claim Rejected</t>
  </si>
  <si>
    <t>Claims Written Back</t>
  </si>
  <si>
    <t>Claims Unclaimed</t>
  </si>
  <si>
    <t>Claims O/S at End of the period</t>
  </si>
  <si>
    <t>Less than  3months</t>
  </si>
  <si>
    <t>3 months to 6 months</t>
  </si>
  <si>
    <t>6 months to 1 year</t>
  </si>
  <si>
    <t>1 year and above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</si>
  <si>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</si>
  <si>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</si>
  <si>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</si>
  <si>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</si>
  <si>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</si>
  <si>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</si>
  <si>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</si>
  <si>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b/>
        <sz val="9"/>
        <color rgb="FFFF0000"/>
        <rFont val="Comic Sans MS"/>
        <family val="4"/>
      </rPr>
      <t>Total</t>
    </r>
    <r>
      <rPr>
        <sz val="9"/>
        <color rgb="FFFF0000"/>
        <rFont val="Comic Sans MS"/>
        <family val="4"/>
      </rPr>
      <t xml:space="preserve"> </t>
    </r>
    <r>
      <rPr>
        <b/>
        <sz val="9"/>
        <color rgb="FFFF0000"/>
        <rFont val="Comic Sans MS"/>
        <family val="4"/>
      </rPr>
      <t>(A)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</si>
  <si>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</si>
  <si>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</si>
  <si>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</si>
  <si>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</si>
  <si>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</si>
  <si>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</si>
  <si>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</si>
  <si>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</si>
  <si>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</si>
  <si>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</si>
  <si>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</si>
  <si>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</si>
  <si>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b/>
        <sz val="9"/>
        <color rgb="FFFF0000"/>
        <rFont val="Comic Sans MS"/>
        <family val="4"/>
      </rPr>
      <t>Total</t>
    </r>
    <r>
      <rPr>
        <sz val="9"/>
        <color rgb="FFFF0000"/>
        <rFont val="Comic Sans MS"/>
        <family val="4"/>
      </rPr>
      <t xml:space="preserve"> </t>
    </r>
    <r>
      <rPr>
        <b/>
        <sz val="9"/>
        <color rgb="FFFF0000"/>
        <rFont val="Comic Sans MS"/>
        <family val="4"/>
      </rPr>
      <t>(B)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</si>
  <si>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</si>
  <si>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</si>
  <si>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</si>
  <si>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</si>
  <si>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</si>
  <si>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</si>
  <si>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</si>
  <si>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</si>
  <si>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</si>
  <si>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</si>
  <si>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</si>
  <si>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</si>
  <si>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</si>
  <si>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</si>
  <si>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</si>
  <si>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</si>
  <si>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L3: Balance Sheet</t>
  </si>
  <si>
    <t>Figures in'000</t>
  </si>
  <si>
    <t>SOURCES OF FUNDS</t>
  </si>
  <si>
    <t>Shareholders' funds</t>
  </si>
  <si>
    <t>Share capital</t>
  </si>
  <si>
    <t>Reserves and surplus</t>
  </si>
  <si>
    <t>Credit/(debit) fair value change account</t>
  </si>
  <si>
    <t>Share application money received pending allotment of shares</t>
  </si>
  <si>
    <t>Sub-total</t>
  </si>
  <si>
    <t>Borrowings</t>
  </si>
  <si>
    <t>Policyholders' Funds</t>
  </si>
  <si>
    <t>Revaluation reserve - Investment property</t>
  </si>
  <si>
    <t>Policy liabilities</t>
  </si>
  <si>
    <t>Insurance reserves</t>
  </si>
  <si>
    <t>Provision for Linked Liabilities</t>
  </si>
  <si>
    <t>Surplus in Policy holder account pending transfer to Shareholders' Account</t>
  </si>
  <si>
    <t>Add:-fair value change (linked)</t>
  </si>
  <si>
    <t xml:space="preserve">Add: Funds for Discontinued Policies </t>
  </si>
  <si>
    <t>(i)  Discontinued on account of non-payment of premium</t>
  </si>
  <si>
    <t>(ii) Others</t>
  </si>
  <si>
    <t>Total:- Linked liabilities</t>
  </si>
  <si>
    <t>Funds for Future Appropriation -: Linked</t>
  </si>
  <si>
    <t>Funds for Future Appropriation -: Other</t>
  </si>
  <si>
    <t>Other</t>
  </si>
  <si>
    <t>APPLICATION OF FUNDS</t>
  </si>
  <si>
    <t>Investments</t>
  </si>
  <si>
    <t xml:space="preserve">   Shareholders</t>
  </si>
  <si>
    <t xml:space="preserve">   Policyholders</t>
  </si>
  <si>
    <t>Assets held to cover linked liabilities</t>
  </si>
  <si>
    <t>Loans</t>
  </si>
  <si>
    <t>Fixed assets</t>
  </si>
  <si>
    <t>Current assets</t>
  </si>
  <si>
    <t>Cash and bank balances</t>
  </si>
  <si>
    <t>Advances and other assets</t>
  </si>
  <si>
    <t>Sub-Total (A)</t>
  </si>
  <si>
    <t>Current liabilities</t>
  </si>
  <si>
    <t>Provisions</t>
  </si>
  <si>
    <t>Sub-Total (B)</t>
  </si>
  <si>
    <t>Net Current Assets (C) = (A - B)</t>
  </si>
  <si>
    <t>Miscellaneous expenditure (to the extent not written off or adjusted)</t>
  </si>
  <si>
    <t>Debit Balance in Profit and Loss Account (Shareholders' Account)</t>
  </si>
  <si>
    <t>Deficit in the Revenue Account (Polivcyholders' Account)</t>
  </si>
  <si>
    <t>CONTINGENT LIABILITIES</t>
  </si>
  <si>
    <t>(` in '000)</t>
  </si>
  <si>
    <t>Partly paid - up investments</t>
  </si>
  <si>
    <t>Nil</t>
  </si>
  <si>
    <t xml:space="preserve">Claims, other than against policies, not acknowledged as debts by the Company </t>
  </si>
  <si>
    <t>Underwriting commitments outstanding (in respect of shares and securities)</t>
  </si>
  <si>
    <t>Guarantees given by or on behalf of the Company</t>
  </si>
  <si>
    <t xml:space="preserve">Statutory demands/ liabilities in dispute, not provided                                  </t>
  </si>
  <si>
    <t>Reinsurance obligations to the extent not provided for in accounts</t>
  </si>
  <si>
    <t>Insurance claims disputed by the Company, to the extent not provided / reserved</t>
  </si>
  <si>
    <t xml:space="preserve">Directions issued by IRDAI under section 34(1) of Insurance Act, 1938 </t>
  </si>
  <si>
    <t>Other-Policy Related Claims under litigation</t>
  </si>
  <si>
    <t>Others-Retrospective amendment of Payment of Bonus</t>
  </si>
  <si>
    <t>L-40: CLAIMS DATA LIFE QUARTER ENDED DECEMBER 2018</t>
  </si>
  <si>
    <t>L2:PROFIT &amp; LOSS ACCOUNT</t>
  </si>
  <si>
    <t>Figures in '000'</t>
  </si>
  <si>
    <t>AS at 31.12.2018</t>
  </si>
  <si>
    <t>AS at 31.12.2017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</si>
  <si>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</si>
  <si>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</si>
  <si>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</si>
  <si>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</si>
  <si>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</si>
  <si>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</si>
  <si>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</si>
  <si>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</si>
  <si>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</si>
  <si>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</si>
  <si>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</si>
  <si>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DHFL Pramerica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</si>
  <si>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</si>
  <si>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</si>
  <si>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</si>
  <si>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</si>
  <si>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</si>
  <si>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IDBI Federal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</si>
  <si>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</si>
  <si>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</si>
  <si>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</si>
  <si>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</si>
  <si>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</si>
  <si>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</si>
  <si>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</si>
  <si>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</si>
  <si>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</si>
  <si>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</si>
  <si>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</si>
  <si>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>Life Insurance Corporation of India(Upto)</t>
  </si>
  <si>
    <t>Adjusted Value Dec 2018 In Lakhs</t>
  </si>
  <si>
    <t>Bonds / Debentures</t>
  </si>
  <si>
    <t>Other Debt instruments</t>
  </si>
  <si>
    <t>All Other Assets</t>
  </si>
  <si>
    <t>T0TAL</t>
  </si>
  <si>
    <t>Investments Assets  (As per Form 5)</t>
  </si>
  <si>
    <t>Gross NPA</t>
  </si>
  <si>
    <t>Provision made on NPA</t>
  </si>
  <si>
    <t>Provision on Standard Assets</t>
  </si>
  <si>
    <t>Write off made during the period</t>
  </si>
  <si>
    <t>IDBI Federal Life Insurance Company Limited Nothing</t>
  </si>
  <si>
    <t>On or before maturity</t>
  </si>
  <si>
    <t>1 month</t>
  </si>
  <si>
    <t>1-3 month</t>
  </si>
  <si>
    <t>3-6 month</t>
  </si>
  <si>
    <t xml:space="preserve">6-1 yr </t>
  </si>
  <si>
    <t>&gt; 1 year</t>
  </si>
  <si>
    <t>Total No. of Claim paid</t>
  </si>
  <si>
    <t>Total Amount of Claim paid in Crores</t>
  </si>
  <si>
    <t>6-12 months</t>
  </si>
  <si>
    <t>&gt; 12 months</t>
  </si>
  <si>
    <t>Maturity Claims</t>
  </si>
  <si>
    <t>For Annuities / Pension</t>
  </si>
  <si>
    <t>Other benefits</t>
  </si>
  <si>
    <t>Group Death Claims</t>
  </si>
  <si>
    <t>Individual Death Claims</t>
  </si>
  <si>
    <t>SBI Life Insurance Company Limited (In Crore)</t>
  </si>
  <si>
    <t>Shriram Life Insurance Company Limited  (In Crore)</t>
  </si>
  <si>
    <t>Star Union Dai-ichi Life Insurance Company Limited  (In Crore)</t>
  </si>
  <si>
    <t>Reliance Nippon Life Insurance Company Limited  (In Crore)</t>
  </si>
  <si>
    <t>PNB MetLife India Insurance Company Limited  (In Crore)</t>
  </si>
  <si>
    <t>Max Life Insurance Company Limited (In Crore)</t>
  </si>
  <si>
    <t>Kotak Mahindra Life Insurance Company Limited   (In Crore)</t>
  </si>
  <si>
    <t>IndiaFirst Life Insurance Company Limited in  (In Crore)</t>
  </si>
  <si>
    <t>ICICI Prudential Life Insurance Company Limited  (In Crore)</t>
  </si>
  <si>
    <t>HDFC Life Insurance Company Limited   (In Crore)</t>
  </si>
  <si>
    <t>Future Generali India Life Insurance Company Limited  (In Crore)</t>
  </si>
  <si>
    <t>Exide life Insurance Company Limited  (In Crore)</t>
  </si>
  <si>
    <t>DHFL Pramerica Life Insurance Company Limited  (In Crore)</t>
  </si>
  <si>
    <t>Canara HSBC Oriental Bank of Commerce Life Insurance Company Limited (In Crore)</t>
  </si>
  <si>
    <t>Bharti AXA Life Insurance Private Limited  (In Crore)</t>
  </si>
  <si>
    <t>Bajaj Allianz Life Insurance Company Limited  (In Crore)</t>
  </si>
  <si>
    <t>Aditya Birla Sun Life Insurance Company Limited (In Crore)</t>
  </si>
  <si>
    <t xml:space="preserve">% of Gross NPA on Investment Assets </t>
  </si>
  <si>
    <t>Provision as a % of NPA</t>
  </si>
  <si>
    <t xml:space="preserve">Net Investment Assets </t>
  </si>
  <si>
    <t xml:space="preserve">Net NPA </t>
  </si>
  <si>
    <t xml:space="preserve">% of Net NPA to Net Investment Assets </t>
  </si>
  <si>
    <t>Life Insurance Corporation of India (Upto Q3)</t>
  </si>
  <si>
    <t>DHFL Pramerica Life Insurance Company Limited (Upto Q3)</t>
  </si>
  <si>
    <t>Exide life Insurance Company Limited (Upto Q3)</t>
  </si>
  <si>
    <t xml:space="preserve">L 39 - Quarterly Individual Ageing of Claims </t>
  </si>
  <si>
    <t>Aviva Life Insurance Company India Private Limited (For Q3)</t>
  </si>
  <si>
    <t>Bajaj Allianz Life Insurance Company Limited (For Q3)</t>
  </si>
  <si>
    <t>Bharti AXA Life Insurance Private Limited (For Q3)</t>
  </si>
  <si>
    <t>Canara HSBC Oriental Bank of Commerce Life Insurance Company Limited (For Q3)</t>
  </si>
  <si>
    <t>Edelweiss Tokio Life Insurance Company Limited (For Q3)</t>
  </si>
  <si>
    <t>Future Generali India Life Insurance Company Limited (For Q3)</t>
  </si>
  <si>
    <t>HDFC Life Insurance Company Limited (For Q3)</t>
  </si>
  <si>
    <t>ICICI Prudential Life Insurance Company Limited (For Q3)</t>
  </si>
  <si>
    <t>IDBI Federal Life Insurance Company Limited (For Q3)</t>
  </si>
  <si>
    <t>IndiaFirst Life Insurance Company Limited (For Q3)</t>
  </si>
  <si>
    <t>Kotak Mahindra Life Insurance Company Limited (For Q3)</t>
  </si>
  <si>
    <t>Max Life Insurance Company Limited (For Q3)</t>
  </si>
  <si>
    <t>PNB MetLife India Insurance Company Limited (For Q3)</t>
  </si>
  <si>
    <t>Reliance Nippon Life Insurance Company Limited (For Q3)</t>
  </si>
  <si>
    <t>SBI Life Insurance Company Limited (For Q3)</t>
  </si>
  <si>
    <t>Shriram Life Insurance Company Limited (For Q3)</t>
  </si>
  <si>
    <t>Star Union Dai-ichi Life Insurance Company Limited (For Q3)</t>
  </si>
  <si>
    <t>Tata AIA Life Insurance Company Limited (For Q3)</t>
  </si>
  <si>
    <t>L33 :Details of Non Performing Assets (Life Fund)</t>
  </si>
  <si>
    <t xml:space="preserve">Edelweiss Tokio Life Insurance Company Limited </t>
  </si>
  <si>
    <t>Aegon Life Insurance Company Limited (For Q3)</t>
  </si>
  <si>
    <t>Aditya Birla Sun Life Insurance Company Limited (For Q3)</t>
  </si>
  <si>
    <t>Figure in '000'</t>
  </si>
  <si>
    <t xml:space="preserve"> Cost / Gross Block </t>
  </si>
  <si>
    <t xml:space="preserve"> Depreciation / Amortisation </t>
  </si>
  <si>
    <t>Net Block</t>
  </si>
  <si>
    <t>Goodwill</t>
  </si>
  <si>
    <t xml:space="preserve">Intangibles - software </t>
  </si>
  <si>
    <t>Land-freehold</t>
  </si>
  <si>
    <t>Leasehold property</t>
  </si>
  <si>
    <t xml:space="preserve">Building on freehold land </t>
  </si>
  <si>
    <t>Building on leasehold land</t>
  </si>
  <si>
    <t>Furniture &amp; fittings</t>
  </si>
  <si>
    <t>Information technology equipment</t>
  </si>
  <si>
    <t>Vehicles</t>
  </si>
  <si>
    <t>Office equipment</t>
  </si>
  <si>
    <t>Leasehold improvements</t>
  </si>
  <si>
    <t>Servers &amp; Networks</t>
  </si>
  <si>
    <t>Electrical fittings</t>
  </si>
  <si>
    <t>Air Conditioner</t>
  </si>
  <si>
    <t>Mobile Phones &amp; Tablets/communication network</t>
  </si>
  <si>
    <t>Capital Work in Progress and Capital Advances</t>
  </si>
  <si>
    <t>Previous period ended December 31, 2017</t>
  </si>
  <si>
    <t xml:space="preserve"># Includes certain asset leased pursuant to operating lease agreements </t>
  </si>
  <si>
    <r>
      <t xml:space="preserve">L-16: - Fixed Assets Schedules </t>
    </r>
    <r>
      <rPr>
        <b/>
        <sz val="9"/>
        <color theme="1"/>
        <rFont val="Comic Sans MS"/>
        <family val="4"/>
      </rPr>
      <t>(As at 31.12.2018)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</si>
</sst>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#0"/>
    <numFmt numFmtId="165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i/>
      <sz val="9"/>
      <color theme="1"/>
      <name val="Comic Sans MS"/>
      <family val="4"/>
    </font>
    <font>
      <b/>
      <sz val="10"/>
      <color rgb="FFFF0000"/>
      <name val="Comic Sans MS"/>
      <family val="4"/>
    </font>
    <font>
      <b/>
      <sz val="10"/>
      <color theme="1"/>
      <name val="Comic Sans MS"/>
      <family val="4"/>
    </font>
    <font>
      <b/>
      <sz val="8"/>
      <color rgb="FFFF0000"/>
      <name val="Comic Sans MS"/>
      <family val="4"/>
    </font>
    <font>
      <sz val="10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rgb="FFFF0000"/>
      <name val="Comic Sans MS"/>
      <family val="4"/>
    </font>
    <font>
      <sz val="8"/>
      <color rgb="FF000000"/>
      <name val="Comic Sans MS"/>
      <family val="4"/>
    </font>
    <font>
      <sz val="9"/>
      <color rgb="FF000000"/>
      <name val="Comic Sans MS"/>
      <family val="4"/>
    </font>
    <font>
      <b/>
      <sz val="9"/>
      <name val="Comic Sans MS"/>
      <family val="4"/>
    </font>
    <font>
      <sz val="9"/>
      <color rgb="FFFF0000"/>
      <name val="Comic Sans MS"/>
      <family val="4"/>
    </font>
    <font>
      <b/>
      <sz val="10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b/>
      <sz val="10"/>
      <color theme="1"/>
      <name val="Arial"/>
      <family val="2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8"/>
      <name val="Comic Sans MS"/>
      <family val="4"/>
    </font>
    <font>
      <b/>
      <sz val="11"/>
      <color theme="1"/>
      <name val="Calibri"/>
      <family val="2"/>
      <scheme val="minor"/>
    </font>
    <font>
      <sz val="8"/>
      <color rgb="FFFF0000"/>
      <name val="Comic Sans MS"/>
      <family val="4"/>
    </font>
    <font>
      <b/>
      <i/>
      <sz val="9"/>
      <color rgb="FFFF0000"/>
      <name val="Comic Sans MS"/>
      <family val="4"/>
    </font>
    <font>
      <b/>
      <sz val="9"/>
      <color rgb="FFF20000"/>
      <name val="Comic Sans MS"/>
      <family val="4"/>
    </font>
    <font>
      <sz val="9"/>
      <name val="Comic Sans MS"/>
      <family val="4"/>
    </font>
    <font>
      <i/>
      <sz val="9"/>
      <color rgb="FF000000"/>
      <name val="Comic Sans MS"/>
      <family val="4"/>
    </font>
    <font>
      <b/>
      <sz val="11"/>
      <color rgb="FFFF0000"/>
      <name val="Comic Sans MS"/>
      <family val="4"/>
    </font>
    <font>
      <b/>
      <i/>
      <sz val="9"/>
      <color theme="1"/>
      <name val="Comic Sans MS"/>
      <family val="4"/>
    </font>
    <font>
      <sz val="8"/>
      <color rgb="FF000000"/>
      <name val="Cambria"/>
    </font>
    <font>
      <sz val="10"/>
      <color rgb="FFFF0000"/>
      <name val="Comic Sans MS"/>
      <family val="4"/>
    </font>
    <font>
      <sz val="8"/>
      <color rgb="FF000000"/>
      <name val="Cambria"/>
      <family val="1"/>
    </font>
    <font>
      <b/>
      <sz val="8"/>
      <color rgb="FF000000"/>
      <name val="Cambria"/>
    </font>
    <font>
      <b/>
      <sz val="8"/>
      <color rgb="FFFF0000"/>
      <name val="Cambria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0">
    <xf numFmtId="0" fontId="0" fillId="0" borderId="0" xfId="0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2" fontId="10" fillId="0" borderId="16" xfId="0" applyNumberFormat="1" applyFont="1" applyBorder="1" applyAlignment="1">
      <alignment horizontal="left"/>
    </xf>
    <xf numFmtId="2" fontId="10" fillId="0" borderId="14" xfId="0" applyNumberFormat="1" applyFont="1" applyBorder="1" applyAlignment="1">
      <alignment horizontal="left"/>
    </xf>
    <xf numFmtId="2" fontId="10" fillId="0" borderId="15" xfId="0" applyNumberFormat="1" applyFont="1" applyBorder="1" applyAlignment="1">
      <alignment horizontal="left"/>
    </xf>
    <xf numFmtId="2" fontId="10" fillId="0" borderId="14" xfId="2" applyNumberFormat="1" applyFont="1" applyBorder="1" applyAlignment="1">
      <alignment horizontal="left"/>
    </xf>
    <xf numFmtId="2" fontId="10" fillId="0" borderId="15" xfId="2" applyNumberFormat="1" applyFont="1" applyBorder="1" applyAlignment="1">
      <alignment horizontal="left"/>
    </xf>
    <xf numFmtId="2" fontId="9" fillId="0" borderId="16" xfId="0" applyNumberFormat="1" applyFont="1" applyBorder="1" applyAlignment="1">
      <alignment horizontal="left"/>
    </xf>
    <xf numFmtId="2" fontId="9" fillId="0" borderId="14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left"/>
    </xf>
    <xf numFmtId="2" fontId="11" fillId="0" borderId="16" xfId="0" applyNumberFormat="1" applyFont="1" applyBorder="1" applyAlignment="1">
      <alignment horizontal="left"/>
    </xf>
    <xf numFmtId="2" fontId="11" fillId="0" borderId="14" xfId="0" applyNumberFormat="1" applyFont="1" applyBorder="1" applyAlignment="1">
      <alignment horizontal="left"/>
    </xf>
    <xf numFmtId="2" fontId="11" fillId="0" borderId="15" xfId="0" applyNumberFormat="1" applyFont="1" applyBorder="1" applyAlignment="1">
      <alignment horizontal="left"/>
    </xf>
    <xf numFmtId="2" fontId="10" fillId="0" borderId="22" xfId="0" applyNumberFormat="1" applyFont="1" applyBorder="1" applyAlignment="1">
      <alignment horizontal="left"/>
    </xf>
    <xf numFmtId="2" fontId="11" fillId="0" borderId="21" xfId="0" applyNumberFormat="1" applyFont="1" applyBorder="1" applyAlignment="1">
      <alignment horizontal="left"/>
    </xf>
    <xf numFmtId="2" fontId="11" fillId="0" borderId="22" xfId="0" applyNumberFormat="1" applyFont="1" applyBorder="1" applyAlignment="1">
      <alignment horizontal="left"/>
    </xf>
    <xf numFmtId="2" fontId="11" fillId="0" borderId="24" xfId="0" applyNumberFormat="1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3" fillId="0" borderId="0" xfId="0" applyFont="1" applyAlignment="1">
      <alignment horizontal="left"/>
    </xf>
    <xf numFmtId="1" fontId="10" fillId="0" borderId="14" xfId="0" applyNumberFormat="1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" fontId="9" fillId="0" borderId="13" xfId="0" applyNumberFormat="1" applyFont="1" applyBorder="1" applyAlignment="1">
      <alignment horizontal="left" vertical="center"/>
    </xf>
    <xf numFmtId="1" fontId="9" fillId="0" borderId="15" xfId="0" applyNumberFormat="1" applyFont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left" vertical="center"/>
    </xf>
    <xf numFmtId="3" fontId="13" fillId="0" borderId="13" xfId="0" applyNumberFormat="1" applyFont="1" applyBorder="1" applyAlignment="1">
      <alignment horizontal="left"/>
    </xf>
    <xf numFmtId="3" fontId="13" fillId="0" borderId="14" xfId="0" applyNumberFormat="1" applyFont="1" applyBorder="1" applyAlignment="1">
      <alignment horizontal="left"/>
    </xf>
    <xf numFmtId="3" fontId="13" fillId="0" borderId="15" xfId="0" applyNumberFormat="1" applyFont="1" applyBorder="1" applyAlignment="1">
      <alignment horizontal="left"/>
    </xf>
    <xf numFmtId="1" fontId="10" fillId="0" borderId="14" xfId="0" applyNumberFormat="1" applyFont="1" applyBorder="1" applyAlignment="1">
      <alignment horizontal="left"/>
    </xf>
    <xf numFmtId="1" fontId="10" fillId="0" borderId="2" xfId="0" applyNumberFormat="1" applyFont="1" applyBorder="1" applyAlignment="1">
      <alignment horizontal="left"/>
    </xf>
    <xf numFmtId="1" fontId="10" fillId="0" borderId="16" xfId="0" applyNumberFormat="1" applyFont="1" applyBorder="1" applyAlignment="1">
      <alignment horizontal="left"/>
    </xf>
    <xf numFmtId="2" fontId="10" fillId="0" borderId="13" xfId="0" applyNumberFormat="1" applyFont="1" applyBorder="1" applyAlignment="1">
      <alignment horizontal="left"/>
    </xf>
    <xf numFmtId="1" fontId="10" fillId="0" borderId="13" xfId="0" applyNumberFormat="1" applyFont="1" applyBorder="1" applyAlignment="1">
      <alignment horizontal="left"/>
    </xf>
    <xf numFmtId="1" fontId="10" fillId="0" borderId="15" xfId="0" applyNumberFormat="1" applyFont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10" fillId="0" borderId="13" xfId="2" applyNumberFormat="1" applyFont="1" applyBorder="1" applyAlignment="1">
      <alignment horizontal="left"/>
    </xf>
    <xf numFmtId="1" fontId="10" fillId="0" borderId="14" xfId="2" applyNumberFormat="1" applyFont="1" applyBorder="1" applyAlignment="1">
      <alignment horizontal="left"/>
    </xf>
    <xf numFmtId="1" fontId="10" fillId="0" borderId="15" xfId="2" applyNumberFormat="1" applyFont="1" applyBorder="1" applyAlignment="1">
      <alignment horizontal="left"/>
    </xf>
    <xf numFmtId="2" fontId="10" fillId="0" borderId="13" xfId="0" applyNumberFormat="1" applyFont="1" applyBorder="1" applyAlignment="1">
      <alignment horizontal="left" wrapText="1"/>
    </xf>
    <xf numFmtId="1" fontId="10" fillId="0" borderId="13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/>
    </xf>
    <xf numFmtId="1" fontId="10" fillId="0" borderId="15" xfId="0" applyNumberFormat="1" applyFont="1" applyFill="1" applyBorder="1" applyAlignment="1">
      <alignment horizontal="left"/>
    </xf>
    <xf numFmtId="1" fontId="10" fillId="0" borderId="13" xfId="1" applyNumberFormat="1" applyFont="1" applyBorder="1" applyAlignment="1">
      <alignment horizontal="left"/>
    </xf>
    <xf numFmtId="1" fontId="10" fillId="0" borderId="14" xfId="1" applyNumberFormat="1" applyFont="1" applyBorder="1" applyAlignment="1">
      <alignment horizontal="left"/>
    </xf>
    <xf numFmtId="1" fontId="10" fillId="0" borderId="15" xfId="1" applyNumberFormat="1" applyFont="1" applyBorder="1" applyAlignment="1">
      <alignment horizontal="left"/>
    </xf>
    <xf numFmtId="1" fontId="9" fillId="0" borderId="13" xfId="1" applyNumberFormat="1" applyFont="1" applyBorder="1" applyAlignment="1">
      <alignment horizontal="left"/>
    </xf>
    <xf numFmtId="1" fontId="9" fillId="0" borderId="14" xfId="1" applyNumberFormat="1" applyFont="1" applyBorder="1" applyAlignment="1">
      <alignment horizontal="left"/>
    </xf>
    <xf numFmtId="1" fontId="9" fillId="0" borderId="15" xfId="1" applyNumberFormat="1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1" fontId="9" fillId="0" borderId="14" xfId="0" applyNumberFormat="1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1" fontId="9" fillId="0" borderId="16" xfId="0" applyNumberFormat="1" applyFont="1" applyBorder="1" applyAlignment="1">
      <alignment horizontal="left"/>
    </xf>
    <xf numFmtId="2" fontId="9" fillId="0" borderId="13" xfId="0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left"/>
    </xf>
    <xf numFmtId="1" fontId="9" fillId="0" borderId="15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/>
    </xf>
    <xf numFmtId="1" fontId="14" fillId="0" borderId="14" xfId="0" applyNumberFormat="1" applyFont="1" applyBorder="1" applyAlignment="1">
      <alignment horizontal="left"/>
    </xf>
    <xf numFmtId="1" fontId="14" fillId="0" borderId="15" xfId="0" applyNumberFormat="1" applyFont="1" applyBorder="1" applyAlignment="1">
      <alignment horizontal="left"/>
    </xf>
    <xf numFmtId="1" fontId="10" fillId="0" borderId="0" xfId="0" applyNumberFormat="1" applyFont="1" applyAlignment="1">
      <alignment horizontal="left"/>
    </xf>
    <xf numFmtId="1" fontId="11" fillId="0" borderId="14" xfId="0" applyNumberFormat="1" applyFont="1" applyBorder="1" applyAlignment="1">
      <alignment horizontal="left" vertical="center"/>
    </xf>
    <xf numFmtId="1" fontId="15" fillId="0" borderId="14" xfId="0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1" fontId="15" fillId="0" borderId="16" xfId="0" applyNumberFormat="1" applyFont="1" applyBorder="1" applyAlignment="1">
      <alignment horizontal="left"/>
    </xf>
    <xf numFmtId="2" fontId="15" fillId="0" borderId="16" xfId="0" applyNumberFormat="1" applyFont="1" applyBorder="1" applyAlignment="1">
      <alignment horizontal="left"/>
    </xf>
    <xf numFmtId="2" fontId="15" fillId="0" borderId="14" xfId="0" applyNumberFormat="1" applyFont="1" applyBorder="1" applyAlignment="1">
      <alignment horizontal="left"/>
    </xf>
    <xf numFmtId="2" fontId="15" fillId="0" borderId="15" xfId="0" applyNumberFormat="1" applyFont="1" applyBorder="1" applyAlignment="1">
      <alignment horizontal="left"/>
    </xf>
    <xf numFmtId="2" fontId="15" fillId="0" borderId="13" xfId="0" applyNumberFormat="1" applyFont="1" applyBorder="1" applyAlignment="1">
      <alignment horizontal="left"/>
    </xf>
    <xf numFmtId="1" fontId="15" fillId="0" borderId="13" xfId="0" applyNumberFormat="1" applyFont="1" applyBorder="1" applyAlignment="1">
      <alignment horizontal="left"/>
    </xf>
    <xf numFmtId="1" fontId="15" fillId="0" borderId="15" xfId="0" applyNumberFormat="1" applyFont="1" applyBorder="1" applyAlignment="1">
      <alignment horizontal="left"/>
    </xf>
    <xf numFmtId="1" fontId="15" fillId="0" borderId="0" xfId="0" applyNumberFormat="1" applyFont="1" applyAlignment="1">
      <alignment horizontal="left"/>
    </xf>
    <xf numFmtId="2" fontId="15" fillId="0" borderId="13" xfId="0" applyNumberFormat="1" applyFont="1" applyBorder="1" applyAlignment="1">
      <alignment horizontal="left" wrapText="1"/>
    </xf>
    <xf numFmtId="3" fontId="11" fillId="0" borderId="13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1" fillId="0" borderId="15" xfId="0" applyNumberFormat="1" applyFont="1" applyBorder="1" applyAlignment="1">
      <alignment horizontal="left"/>
    </xf>
    <xf numFmtId="1" fontId="15" fillId="0" borderId="13" xfId="0" applyNumberFormat="1" applyFont="1" applyFill="1" applyBorder="1" applyAlignment="1">
      <alignment horizontal="left"/>
    </xf>
    <xf numFmtId="1" fontId="15" fillId="0" borderId="14" xfId="0" applyNumberFormat="1" applyFont="1" applyFill="1" applyBorder="1" applyAlignment="1">
      <alignment horizontal="left"/>
    </xf>
    <xf numFmtId="1" fontId="15" fillId="0" borderId="15" xfId="0" applyNumberFormat="1" applyFont="1" applyFill="1" applyBorder="1" applyAlignment="1">
      <alignment horizontal="left"/>
    </xf>
    <xf numFmtId="1" fontId="15" fillId="0" borderId="13" xfId="1" applyNumberFormat="1" applyFont="1" applyBorder="1" applyAlignment="1">
      <alignment horizontal="left"/>
    </xf>
    <xf numFmtId="1" fontId="15" fillId="0" borderId="14" xfId="1" applyNumberFormat="1" applyFont="1" applyBorder="1" applyAlignment="1">
      <alignment horizontal="left"/>
    </xf>
    <xf numFmtId="1" fontId="15" fillId="0" borderId="15" xfId="1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1" fontId="15" fillId="0" borderId="21" xfId="0" applyNumberFormat="1" applyFont="1" applyBorder="1" applyAlignment="1">
      <alignment horizontal="left"/>
    </xf>
    <xf numFmtId="1" fontId="15" fillId="0" borderId="22" xfId="0" applyNumberFormat="1" applyFont="1" applyBorder="1" applyAlignment="1">
      <alignment horizontal="left"/>
    </xf>
    <xf numFmtId="1" fontId="15" fillId="0" borderId="23" xfId="0" applyNumberFormat="1" applyFont="1" applyBorder="1" applyAlignment="1">
      <alignment horizontal="left"/>
    </xf>
    <xf numFmtId="2" fontId="15" fillId="0" borderId="21" xfId="0" applyNumberFormat="1" applyFont="1" applyBorder="1" applyAlignment="1">
      <alignment horizontal="left"/>
    </xf>
    <xf numFmtId="2" fontId="15" fillId="0" borderId="22" xfId="0" applyNumberFormat="1" applyFont="1" applyBorder="1" applyAlignment="1">
      <alignment horizontal="left"/>
    </xf>
    <xf numFmtId="2" fontId="15" fillId="0" borderId="24" xfId="0" applyNumberFormat="1" applyFont="1" applyBorder="1" applyAlignment="1">
      <alignment horizontal="left"/>
    </xf>
    <xf numFmtId="2" fontId="15" fillId="0" borderId="25" xfId="0" applyNumberFormat="1" applyFont="1" applyBorder="1" applyAlignment="1">
      <alignment horizontal="left"/>
    </xf>
    <xf numFmtId="1" fontId="15" fillId="0" borderId="25" xfId="0" applyNumberFormat="1" applyFont="1" applyBorder="1" applyAlignment="1">
      <alignment horizontal="left"/>
    </xf>
    <xf numFmtId="1" fontId="15" fillId="0" borderId="24" xfId="0" applyNumberFormat="1" applyFont="1" applyBorder="1" applyAlignment="1">
      <alignment horizontal="left"/>
    </xf>
    <xf numFmtId="1" fontId="9" fillId="0" borderId="28" xfId="0" applyNumberFormat="1" applyFont="1" applyBorder="1" applyAlignment="1">
      <alignment horizontal="left"/>
    </xf>
    <xf numFmtId="2" fontId="15" fillId="0" borderId="25" xfId="0" applyNumberFormat="1" applyFont="1" applyBorder="1" applyAlignment="1">
      <alignment horizontal="left" wrapText="1"/>
    </xf>
    <xf numFmtId="3" fontId="11" fillId="0" borderId="25" xfId="0" applyNumberFormat="1" applyFont="1" applyBorder="1" applyAlignment="1">
      <alignment horizontal="left"/>
    </xf>
    <xf numFmtId="3" fontId="11" fillId="0" borderId="22" xfId="0" applyNumberFormat="1" applyFont="1" applyBorder="1" applyAlignment="1">
      <alignment horizontal="left"/>
    </xf>
    <xf numFmtId="3" fontId="11" fillId="0" borderId="24" xfId="0" applyNumberFormat="1" applyFont="1" applyBorder="1" applyAlignment="1">
      <alignment horizontal="left"/>
    </xf>
    <xf numFmtId="1" fontId="15" fillId="0" borderId="25" xfId="0" applyNumberFormat="1" applyFont="1" applyFill="1" applyBorder="1" applyAlignment="1">
      <alignment horizontal="left"/>
    </xf>
    <xf numFmtId="1" fontId="15" fillId="0" borderId="22" xfId="0" applyNumberFormat="1" applyFont="1" applyFill="1" applyBorder="1" applyAlignment="1">
      <alignment horizontal="left"/>
    </xf>
    <xf numFmtId="1" fontId="15" fillId="0" borderId="24" xfId="0" applyNumberFormat="1" applyFont="1" applyFill="1" applyBorder="1" applyAlignment="1">
      <alignment horizontal="left"/>
    </xf>
    <xf numFmtId="1" fontId="15" fillId="0" borderId="25" xfId="1" applyNumberFormat="1" applyFont="1" applyBorder="1" applyAlignment="1">
      <alignment horizontal="left"/>
    </xf>
    <xf numFmtId="1" fontId="15" fillId="0" borderId="22" xfId="1" applyNumberFormat="1" applyFont="1" applyBorder="1" applyAlignment="1">
      <alignment horizontal="left"/>
    </xf>
    <xf numFmtId="1" fontId="15" fillId="0" borderId="24" xfId="1" applyNumberFormat="1" applyFont="1" applyBorder="1" applyAlignment="1">
      <alignment horizontal="left"/>
    </xf>
    <xf numFmtId="2" fontId="9" fillId="0" borderId="14" xfId="0" applyNumberFormat="1" applyFont="1" applyBorder="1" applyAlignment="1">
      <alignment horizontal="left" vertical="center"/>
    </xf>
    <xf numFmtId="2" fontId="9" fillId="0" borderId="28" xfId="0" applyNumberFormat="1" applyFont="1" applyBorder="1" applyAlignment="1">
      <alignment horizontal="left"/>
    </xf>
    <xf numFmtId="1" fontId="10" fillId="0" borderId="28" xfId="2" applyNumberFormat="1" applyFont="1" applyBorder="1" applyAlignment="1">
      <alignment horizontal="left"/>
    </xf>
    <xf numFmtId="2" fontId="14" fillId="0" borderId="28" xfId="0" applyNumberFormat="1" applyFont="1" applyBorder="1" applyAlignment="1">
      <alignment horizontal="left"/>
    </xf>
    <xf numFmtId="2" fontId="10" fillId="0" borderId="28" xfId="0" applyNumberFormat="1" applyFont="1" applyBorder="1" applyAlignment="1">
      <alignment horizontal="left" wrapText="1"/>
    </xf>
    <xf numFmtId="2" fontId="10" fillId="0" borderId="28" xfId="0" applyNumberFormat="1" applyFont="1" applyBorder="1" applyAlignment="1">
      <alignment horizontal="left"/>
    </xf>
    <xf numFmtId="3" fontId="13" fillId="0" borderId="28" xfId="0" applyNumberFormat="1" applyFont="1" applyBorder="1" applyAlignment="1">
      <alignment horizontal="left"/>
    </xf>
    <xf numFmtId="2" fontId="10" fillId="0" borderId="28" xfId="0" applyNumberFormat="1" applyFont="1" applyFill="1" applyBorder="1" applyAlignment="1">
      <alignment horizontal="left"/>
    </xf>
    <xf numFmtId="2" fontId="10" fillId="0" borderId="28" xfId="1" applyNumberFormat="1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7" fillId="0" borderId="33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1" fontId="10" fillId="0" borderId="34" xfId="0" applyNumberFormat="1" applyFont="1" applyBorder="1" applyAlignment="1">
      <alignment horizontal="left" vertical="center"/>
    </xf>
    <xf numFmtId="1" fontId="10" fillId="0" borderId="28" xfId="0" applyNumberFormat="1" applyFont="1" applyBorder="1" applyAlignment="1">
      <alignment horizontal="left" vertical="center"/>
    </xf>
    <xf numFmtId="1" fontId="10" fillId="0" borderId="35" xfId="0" applyNumberFormat="1" applyFont="1" applyBorder="1" applyAlignment="1">
      <alignment horizontal="left" vertical="center"/>
    </xf>
    <xf numFmtId="1" fontId="10" fillId="0" borderId="36" xfId="0" applyNumberFormat="1" applyFont="1" applyBorder="1" applyAlignment="1">
      <alignment horizontal="left"/>
    </xf>
    <xf numFmtId="1" fontId="10" fillId="0" borderId="28" xfId="0" applyNumberFormat="1" applyFont="1" applyBorder="1" applyAlignment="1">
      <alignment horizontal="left"/>
    </xf>
    <xf numFmtId="1" fontId="10" fillId="0" borderId="35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2" fontId="10" fillId="0" borderId="36" xfId="0" applyNumberFormat="1" applyFont="1" applyBorder="1" applyAlignment="1">
      <alignment horizontal="left"/>
    </xf>
    <xf numFmtId="2" fontId="10" fillId="0" borderId="35" xfId="0" applyNumberFormat="1" applyFont="1" applyBorder="1" applyAlignment="1">
      <alignment horizontal="left"/>
    </xf>
    <xf numFmtId="1" fontId="10" fillId="0" borderId="34" xfId="2" applyNumberFormat="1" applyFont="1" applyBorder="1" applyAlignment="1">
      <alignment horizontal="left"/>
    </xf>
    <xf numFmtId="1" fontId="10" fillId="0" borderId="35" xfId="2" applyNumberFormat="1" applyFont="1" applyBorder="1" applyAlignment="1">
      <alignment horizontal="left"/>
    </xf>
    <xf numFmtId="2" fontId="10" fillId="0" borderId="36" xfId="0" applyNumberFormat="1" applyFont="1" applyBorder="1" applyAlignment="1">
      <alignment horizontal="left" wrapText="1"/>
    </xf>
    <xf numFmtId="2" fontId="10" fillId="0" borderId="0" xfId="0" applyNumberFormat="1" applyFont="1" applyBorder="1" applyAlignment="1">
      <alignment horizontal="left"/>
    </xf>
    <xf numFmtId="2" fontId="10" fillId="0" borderId="17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3" fontId="13" fillId="0" borderId="17" xfId="0" applyNumberFormat="1" applyFont="1" applyBorder="1" applyAlignment="1">
      <alignment horizontal="left"/>
    </xf>
    <xf numFmtId="1" fontId="10" fillId="0" borderId="36" xfId="0" applyNumberFormat="1" applyFont="1" applyFill="1" applyBorder="1" applyAlignment="1">
      <alignment horizontal="left"/>
    </xf>
    <xf numFmtId="1" fontId="10" fillId="0" borderId="28" xfId="0" applyNumberFormat="1" applyFont="1" applyFill="1" applyBorder="1" applyAlignment="1">
      <alignment horizontal="left"/>
    </xf>
    <xf numFmtId="1" fontId="10" fillId="0" borderId="35" xfId="0" applyNumberFormat="1" applyFont="1" applyFill="1" applyBorder="1" applyAlignment="1">
      <alignment horizontal="left"/>
    </xf>
    <xf numFmtId="1" fontId="10" fillId="0" borderId="36" xfId="1" applyNumberFormat="1" applyFont="1" applyBorder="1" applyAlignment="1">
      <alignment horizontal="left"/>
    </xf>
    <xf numFmtId="1" fontId="10" fillId="0" borderId="28" xfId="1" applyNumberFormat="1" applyFont="1" applyBorder="1" applyAlignment="1">
      <alignment horizontal="left"/>
    </xf>
    <xf numFmtId="1" fontId="10" fillId="0" borderId="35" xfId="1" applyNumberFormat="1" applyFont="1" applyBorder="1" applyAlignment="1">
      <alignment horizontal="left"/>
    </xf>
    <xf numFmtId="1" fontId="9" fillId="0" borderId="36" xfId="0" applyNumberFormat="1" applyFont="1" applyBorder="1" applyAlignment="1">
      <alignment horizontal="left"/>
    </xf>
    <xf numFmtId="1" fontId="9" fillId="0" borderId="37" xfId="0" applyNumberFormat="1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1" fontId="10" fillId="0" borderId="16" xfId="0" applyNumberFormat="1" applyFont="1" applyBorder="1" applyAlignment="1">
      <alignment horizontal="left" vertical="center"/>
    </xf>
    <xf numFmtId="1" fontId="10" fillId="0" borderId="15" xfId="0" applyNumberFormat="1" applyFont="1" applyBorder="1" applyAlignment="1">
      <alignment horizontal="left" vertical="center"/>
    </xf>
    <xf numFmtId="1" fontId="10" fillId="0" borderId="16" xfId="2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left"/>
    </xf>
    <xf numFmtId="164" fontId="13" fillId="0" borderId="17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1" fontId="11" fillId="0" borderId="16" xfId="0" applyNumberFormat="1" applyFont="1" applyBorder="1" applyAlignment="1">
      <alignment horizontal="left" vertical="center"/>
    </xf>
    <xf numFmtId="1" fontId="11" fillId="0" borderId="15" xfId="0" applyNumberFormat="1" applyFont="1" applyBorder="1" applyAlignment="1">
      <alignment horizontal="left" vertical="center"/>
    </xf>
    <xf numFmtId="1" fontId="11" fillId="0" borderId="13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1" fontId="11" fillId="0" borderId="15" xfId="0" applyNumberFormat="1" applyFont="1" applyBorder="1" applyAlignment="1">
      <alignment horizontal="left"/>
    </xf>
    <xf numFmtId="1" fontId="11" fillId="0" borderId="16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11" fillId="0" borderId="17" xfId="0" applyNumberFormat="1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1" fontId="11" fillId="0" borderId="21" xfId="0" applyNumberFormat="1" applyFont="1" applyBorder="1" applyAlignment="1">
      <alignment horizontal="left" vertical="center"/>
    </xf>
    <xf numFmtId="1" fontId="11" fillId="0" borderId="22" xfId="0" applyNumberFormat="1" applyFont="1" applyBorder="1" applyAlignment="1">
      <alignment horizontal="left" vertical="center"/>
    </xf>
    <xf numFmtId="1" fontId="11" fillId="0" borderId="24" xfId="0" applyNumberFormat="1" applyFont="1" applyBorder="1" applyAlignment="1">
      <alignment horizontal="left" vertical="center"/>
    </xf>
    <xf numFmtId="1" fontId="9" fillId="0" borderId="25" xfId="0" applyNumberFormat="1" applyFont="1" applyBorder="1" applyAlignment="1">
      <alignment horizontal="left"/>
    </xf>
    <xf numFmtId="1" fontId="9" fillId="0" borderId="22" xfId="0" applyNumberFormat="1" applyFont="1" applyBorder="1" applyAlignment="1">
      <alignment horizontal="left"/>
    </xf>
    <xf numFmtId="1" fontId="9" fillId="0" borderId="24" xfId="0" applyNumberFormat="1" applyFont="1" applyBorder="1" applyAlignment="1">
      <alignment horizontal="left"/>
    </xf>
    <xf numFmtId="1" fontId="9" fillId="0" borderId="21" xfId="0" applyNumberFormat="1" applyFont="1" applyBorder="1" applyAlignment="1">
      <alignment horizontal="left"/>
    </xf>
    <xf numFmtId="1" fontId="11" fillId="0" borderId="25" xfId="0" applyNumberFormat="1" applyFont="1" applyBorder="1" applyAlignment="1">
      <alignment horizontal="left"/>
    </xf>
    <xf numFmtId="1" fontId="11" fillId="0" borderId="22" xfId="0" applyNumberFormat="1" applyFont="1" applyBorder="1" applyAlignment="1">
      <alignment horizontal="left"/>
    </xf>
    <xf numFmtId="1" fontId="11" fillId="0" borderId="24" xfId="0" applyNumberFormat="1" applyFont="1" applyBorder="1" applyAlignment="1">
      <alignment horizontal="left"/>
    </xf>
    <xf numFmtId="1" fontId="11" fillId="0" borderId="21" xfId="2" applyNumberFormat="1" applyFont="1" applyBorder="1" applyAlignment="1">
      <alignment horizontal="left"/>
    </xf>
    <xf numFmtId="1" fontId="11" fillId="0" borderId="22" xfId="2" applyNumberFormat="1" applyFont="1" applyBorder="1" applyAlignment="1">
      <alignment horizontal="left"/>
    </xf>
    <xf numFmtId="1" fontId="11" fillId="0" borderId="24" xfId="2" applyNumberFormat="1" applyFont="1" applyBorder="1" applyAlignment="1">
      <alignment horizontal="left"/>
    </xf>
    <xf numFmtId="1" fontId="14" fillId="0" borderId="25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/>
    </xf>
    <xf numFmtId="1" fontId="14" fillId="0" borderId="24" xfId="0" applyNumberFormat="1" applyFont="1" applyBorder="1" applyAlignment="1">
      <alignment horizontal="left"/>
    </xf>
    <xf numFmtId="2" fontId="10" fillId="0" borderId="25" xfId="0" applyNumberFormat="1" applyFont="1" applyBorder="1" applyAlignment="1">
      <alignment horizontal="left" wrapText="1"/>
    </xf>
    <xf numFmtId="2" fontId="10" fillId="0" borderId="26" xfId="0" applyNumberFormat="1" applyFont="1" applyBorder="1" applyAlignment="1">
      <alignment horizontal="left"/>
    </xf>
    <xf numFmtId="2" fontId="10" fillId="0" borderId="27" xfId="0" applyNumberFormat="1" applyFont="1" applyBorder="1" applyAlignment="1">
      <alignment horizontal="left"/>
    </xf>
    <xf numFmtId="3" fontId="11" fillId="0" borderId="26" xfId="0" applyNumberFormat="1" applyFont="1" applyBorder="1" applyAlignment="1">
      <alignment horizontal="left"/>
    </xf>
    <xf numFmtId="3" fontId="11" fillId="0" borderId="27" xfId="0" applyNumberFormat="1" applyFont="1" applyBorder="1" applyAlignment="1">
      <alignment horizontal="left"/>
    </xf>
    <xf numFmtId="1" fontId="10" fillId="0" borderId="25" xfId="0" applyNumberFormat="1" applyFont="1" applyFill="1" applyBorder="1" applyAlignment="1">
      <alignment horizontal="left"/>
    </xf>
    <xf numFmtId="1" fontId="10" fillId="0" borderId="22" xfId="0" applyNumberFormat="1" applyFont="1" applyFill="1" applyBorder="1" applyAlignment="1">
      <alignment horizontal="left"/>
    </xf>
    <xf numFmtId="1" fontId="10" fillId="0" borderId="24" xfId="0" applyNumberFormat="1" applyFont="1" applyFill="1" applyBorder="1" applyAlignment="1">
      <alignment horizontal="left"/>
    </xf>
    <xf numFmtId="1" fontId="10" fillId="0" borderId="25" xfId="1" applyNumberFormat="1" applyFont="1" applyBorder="1" applyAlignment="1">
      <alignment horizontal="left"/>
    </xf>
    <xf numFmtId="1" fontId="10" fillId="0" borderId="22" xfId="1" applyNumberFormat="1" applyFont="1" applyBorder="1" applyAlignment="1">
      <alignment horizontal="left"/>
    </xf>
    <xf numFmtId="1" fontId="10" fillId="0" borderId="24" xfId="1" applyNumberFormat="1" applyFont="1" applyBorder="1" applyAlignment="1">
      <alignment horizontal="left"/>
    </xf>
    <xf numFmtId="1" fontId="9" fillId="0" borderId="38" xfId="0" applyNumberFormat="1" applyFont="1" applyBorder="1" applyAlignment="1">
      <alignment horizontal="left"/>
    </xf>
    <xf numFmtId="2" fontId="9" fillId="0" borderId="25" xfId="0" applyNumberFormat="1" applyFont="1" applyBorder="1" applyAlignment="1">
      <alignment horizontal="left"/>
    </xf>
    <xf numFmtId="2" fontId="9" fillId="0" borderId="22" xfId="0" applyNumberFormat="1" applyFont="1" applyBorder="1" applyAlignment="1">
      <alignment horizontal="left"/>
    </xf>
    <xf numFmtId="2" fontId="9" fillId="0" borderId="24" xfId="0" applyNumberFormat="1" applyFont="1" applyBorder="1" applyAlignment="1">
      <alignment horizontal="left"/>
    </xf>
    <xf numFmtId="1" fontId="9" fillId="0" borderId="39" xfId="0" applyNumberFormat="1" applyFont="1" applyBorder="1" applyAlignment="1">
      <alignment horizontal="left"/>
    </xf>
    <xf numFmtId="1" fontId="9" fillId="0" borderId="27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2" fontId="10" fillId="0" borderId="14" xfId="0" applyNumberFormat="1" applyFont="1" applyBorder="1" applyAlignment="1">
      <alignment horizontal="left" vertical="center"/>
    </xf>
    <xf numFmtId="2" fontId="10" fillId="0" borderId="2" xfId="0" applyNumberFormat="1" applyFont="1" applyBorder="1" applyAlignment="1">
      <alignment horizontal="left" vertical="center"/>
    </xf>
    <xf numFmtId="2" fontId="8" fillId="0" borderId="16" xfId="0" applyNumberFormat="1" applyFont="1" applyBorder="1" applyAlignment="1">
      <alignment horizontal="left"/>
    </xf>
    <xf numFmtId="2" fontId="8" fillId="0" borderId="14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left"/>
    </xf>
    <xf numFmtId="2" fontId="8" fillId="0" borderId="15" xfId="0" applyNumberFormat="1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2" fontId="10" fillId="0" borderId="13" xfId="2" applyNumberFormat="1" applyFont="1" applyBorder="1" applyAlignment="1">
      <alignment horizontal="left"/>
    </xf>
    <xf numFmtId="2" fontId="8" fillId="0" borderId="13" xfId="0" applyNumberFormat="1" applyFont="1" applyBorder="1" applyAlignment="1">
      <alignment horizontal="left"/>
    </xf>
    <xf numFmtId="2" fontId="8" fillId="0" borderId="13" xfId="0" applyNumberFormat="1" applyFont="1" applyBorder="1" applyAlignment="1">
      <alignment horizontal="left" wrapText="1"/>
    </xf>
    <xf numFmtId="164" fontId="12" fillId="0" borderId="13" xfId="0" applyNumberFormat="1" applyFont="1" applyBorder="1" applyAlignment="1">
      <alignment horizontal="left"/>
    </xf>
    <xf numFmtId="164" fontId="12" fillId="0" borderId="14" xfId="0" applyNumberFormat="1" applyFont="1" applyBorder="1" applyAlignment="1">
      <alignment horizontal="left"/>
    </xf>
    <xf numFmtId="164" fontId="12" fillId="0" borderId="15" xfId="0" applyNumberFormat="1" applyFont="1" applyBorder="1" applyAlignment="1">
      <alignment horizontal="left"/>
    </xf>
    <xf numFmtId="2" fontId="8" fillId="0" borderId="16" xfId="0" applyNumberFormat="1" applyFont="1" applyFill="1" applyBorder="1" applyAlignment="1">
      <alignment horizontal="left"/>
    </xf>
    <xf numFmtId="2" fontId="8" fillId="0" borderId="14" xfId="0" applyNumberFormat="1" applyFont="1" applyFill="1" applyBorder="1" applyAlignment="1">
      <alignment horizontal="left"/>
    </xf>
    <xf numFmtId="2" fontId="8" fillId="0" borderId="15" xfId="0" applyNumberFormat="1" applyFont="1" applyFill="1" applyBorder="1" applyAlignment="1">
      <alignment horizontal="left"/>
    </xf>
    <xf numFmtId="2" fontId="8" fillId="0" borderId="13" xfId="1" applyNumberFormat="1" applyFont="1" applyBorder="1" applyAlignment="1">
      <alignment horizontal="left"/>
    </xf>
    <xf numFmtId="2" fontId="8" fillId="0" borderId="14" xfId="1" applyNumberFormat="1" applyFont="1" applyBorder="1" applyAlignment="1">
      <alignment horizontal="left"/>
    </xf>
    <xf numFmtId="2" fontId="8" fillId="0" borderId="15" xfId="1" applyNumberFormat="1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2" fontId="8" fillId="0" borderId="16" xfId="1" applyNumberFormat="1" applyFont="1" applyBorder="1" applyAlignment="1">
      <alignment horizontal="left"/>
    </xf>
    <xf numFmtId="2" fontId="6" fillId="0" borderId="16" xfId="0" applyNumberFormat="1" applyFont="1" applyBorder="1" applyAlignment="1">
      <alignment horizontal="left"/>
    </xf>
    <xf numFmtId="3" fontId="12" fillId="0" borderId="13" xfId="0" applyNumberFormat="1" applyFont="1" applyBorder="1" applyAlignment="1">
      <alignment horizontal="left"/>
    </xf>
    <xf numFmtId="3" fontId="12" fillId="0" borderId="14" xfId="0" applyNumberFormat="1" applyFont="1" applyBorder="1" applyAlignment="1">
      <alignment horizontal="left"/>
    </xf>
    <xf numFmtId="3" fontId="12" fillId="0" borderId="15" xfId="0" applyNumberFormat="1" applyFont="1" applyBorder="1" applyAlignment="1">
      <alignment horizontal="left"/>
    </xf>
    <xf numFmtId="2" fontId="9" fillId="0" borderId="16" xfId="0" applyNumberFormat="1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2" fontId="16" fillId="0" borderId="13" xfId="0" applyNumberFormat="1" applyFont="1" applyBorder="1" applyAlignment="1">
      <alignment horizontal="left"/>
    </xf>
    <xf numFmtId="2" fontId="16" fillId="0" borderId="14" xfId="0" applyNumberFormat="1" applyFont="1" applyBorder="1" applyAlignment="1">
      <alignment horizontal="left"/>
    </xf>
    <xf numFmtId="2" fontId="16" fillId="0" borderId="15" xfId="0" applyNumberFormat="1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2" fontId="11" fillId="0" borderId="14" xfId="0" applyNumberFormat="1" applyFont="1" applyBorder="1" applyAlignment="1">
      <alignment horizontal="left" vertical="center"/>
    </xf>
    <xf numFmtId="2" fontId="11" fillId="0" borderId="22" xfId="0" applyNumberFormat="1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64" fontId="11" fillId="0" borderId="0" xfId="0" applyNumberFormat="1" applyFont="1" applyBorder="1" applyAlignment="1">
      <alignment horizontal="left"/>
    </xf>
    <xf numFmtId="164" fontId="11" fillId="0" borderId="17" xfId="0" applyNumberFormat="1" applyFont="1" applyBorder="1" applyAlignment="1">
      <alignment horizontal="left"/>
    </xf>
    <xf numFmtId="164" fontId="11" fillId="0" borderId="26" xfId="0" applyNumberFormat="1" applyFont="1" applyBorder="1" applyAlignment="1">
      <alignment horizontal="left"/>
    </xf>
    <xf numFmtId="164" fontId="11" fillId="0" borderId="27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164" fontId="18" fillId="0" borderId="17" xfId="0" applyNumberFormat="1" applyFont="1" applyBorder="1" applyAlignment="1">
      <alignment horizontal="left"/>
    </xf>
    <xf numFmtId="2" fontId="9" fillId="0" borderId="16" xfId="2" applyNumberFormat="1" applyFont="1" applyBorder="1" applyAlignment="1">
      <alignment horizontal="left"/>
    </xf>
    <xf numFmtId="2" fontId="9" fillId="0" borderId="14" xfId="2" applyNumberFormat="1" applyFont="1" applyBorder="1" applyAlignment="1">
      <alignment horizontal="left"/>
    </xf>
    <xf numFmtId="2" fontId="9" fillId="0" borderId="15" xfId="2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9" fillId="0" borderId="0" xfId="0" applyFont="1"/>
    <xf numFmtId="0" fontId="17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/>
    </xf>
    <xf numFmtId="2" fontId="9" fillId="0" borderId="13" xfId="0" applyNumberFormat="1" applyFont="1" applyBorder="1" applyAlignment="1">
      <alignment horizontal="left" vertical="center"/>
    </xf>
    <xf numFmtId="2" fontId="9" fillId="0" borderId="3" xfId="0" applyNumberFormat="1" applyFont="1" applyBorder="1" applyAlignment="1">
      <alignment horizontal="left" vertical="center"/>
    </xf>
    <xf numFmtId="2" fontId="9" fillId="0" borderId="1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2" fontId="9" fillId="0" borderId="2" xfId="0" applyNumberFormat="1" applyFont="1" applyBorder="1" applyAlignment="1">
      <alignment horizontal="left"/>
    </xf>
    <xf numFmtId="2" fontId="9" fillId="0" borderId="0" xfId="0" applyNumberFormat="1" applyFont="1" applyBorder="1" applyAlignment="1">
      <alignment horizontal="left"/>
    </xf>
    <xf numFmtId="2" fontId="9" fillId="0" borderId="17" xfId="0" applyNumberFormat="1" applyFont="1" applyBorder="1" applyAlignment="1">
      <alignment horizontal="left"/>
    </xf>
    <xf numFmtId="2" fontId="9" fillId="0" borderId="16" xfId="0" applyNumberFormat="1" applyFont="1" applyFill="1" applyBorder="1" applyAlignment="1">
      <alignment horizontal="left"/>
    </xf>
    <xf numFmtId="2" fontId="9" fillId="0" borderId="14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left"/>
    </xf>
    <xf numFmtId="2" fontId="9" fillId="0" borderId="16" xfId="1" applyNumberFormat="1" applyFont="1" applyBorder="1" applyAlignment="1">
      <alignment horizontal="left"/>
    </xf>
    <xf numFmtId="2" fontId="9" fillId="0" borderId="14" xfId="1" applyNumberFormat="1" applyFont="1" applyBorder="1" applyAlignment="1">
      <alignment horizontal="left"/>
    </xf>
    <xf numFmtId="2" fontId="9" fillId="0" borderId="2" xfId="1" applyNumberFormat="1" applyFont="1" applyBorder="1" applyAlignment="1">
      <alignment horizontal="left"/>
    </xf>
    <xf numFmtId="2" fontId="9" fillId="0" borderId="15" xfId="1" applyNumberFormat="1" applyFont="1" applyBorder="1" applyAlignment="1">
      <alignment horizontal="left"/>
    </xf>
    <xf numFmtId="2" fontId="14" fillId="0" borderId="13" xfId="0" applyNumberFormat="1" applyFont="1" applyBorder="1" applyAlignment="1">
      <alignment horizontal="left"/>
    </xf>
    <xf numFmtId="2" fontId="14" fillId="0" borderId="14" xfId="0" applyNumberFormat="1" applyFont="1" applyBorder="1" applyAlignment="1">
      <alignment horizontal="left"/>
    </xf>
    <xf numFmtId="2" fontId="14" fillId="0" borderId="15" xfId="0" applyNumberFormat="1" applyFont="1" applyBorder="1" applyAlignment="1">
      <alignment horizontal="left"/>
    </xf>
    <xf numFmtId="2" fontId="9" fillId="0" borderId="23" xfId="0" applyNumberFormat="1" applyFont="1" applyBorder="1" applyAlignment="1">
      <alignment horizontal="left"/>
    </xf>
    <xf numFmtId="2" fontId="9" fillId="0" borderId="22" xfId="0" applyNumberFormat="1" applyFont="1" applyFill="1" applyBorder="1" applyAlignment="1">
      <alignment horizontal="left"/>
    </xf>
    <xf numFmtId="2" fontId="9" fillId="0" borderId="21" xfId="0" applyNumberFormat="1" applyFont="1" applyFill="1" applyBorder="1" applyAlignment="1">
      <alignment horizontal="left"/>
    </xf>
    <xf numFmtId="2" fontId="9" fillId="0" borderId="24" xfId="0" applyNumberFormat="1" applyFont="1" applyFill="1" applyBorder="1" applyAlignment="1">
      <alignment horizontal="left"/>
    </xf>
    <xf numFmtId="2" fontId="9" fillId="0" borderId="21" xfId="1" applyNumberFormat="1" applyFont="1" applyBorder="1" applyAlignment="1">
      <alignment horizontal="left"/>
    </xf>
    <xf numFmtId="2" fontId="9" fillId="0" borderId="22" xfId="1" applyNumberFormat="1" applyFont="1" applyBorder="1" applyAlignment="1">
      <alignment horizontal="left"/>
    </xf>
    <xf numFmtId="2" fontId="9" fillId="0" borderId="23" xfId="1" applyNumberFormat="1" applyFont="1" applyBorder="1" applyAlignment="1">
      <alignment horizontal="left"/>
    </xf>
    <xf numFmtId="2" fontId="9" fillId="0" borderId="21" xfId="0" applyNumberFormat="1" applyFont="1" applyBorder="1" applyAlignment="1">
      <alignment horizontal="left" vertical="center"/>
    </xf>
    <xf numFmtId="2" fontId="9" fillId="0" borderId="25" xfId="0" applyNumberFormat="1" applyFont="1" applyBorder="1" applyAlignment="1">
      <alignment horizontal="left" vertical="center"/>
    </xf>
    <xf numFmtId="2" fontId="9" fillId="0" borderId="42" xfId="0" applyNumberFormat="1" applyFont="1" applyBorder="1" applyAlignment="1">
      <alignment horizontal="left" vertical="center"/>
    </xf>
    <xf numFmtId="2" fontId="9" fillId="0" borderId="24" xfId="1" applyNumberFormat="1" applyFont="1" applyBorder="1" applyAlignment="1">
      <alignment horizontal="left"/>
    </xf>
    <xf numFmtId="2" fontId="9" fillId="0" borderId="22" xfId="0" applyNumberFormat="1" applyFont="1" applyBorder="1" applyAlignment="1">
      <alignment horizontal="left" vertical="center"/>
    </xf>
    <xf numFmtId="2" fontId="9" fillId="0" borderId="24" xfId="0" applyNumberFormat="1" applyFont="1" applyBorder="1" applyAlignment="1">
      <alignment horizontal="left" vertical="center"/>
    </xf>
    <xf numFmtId="2" fontId="9" fillId="0" borderId="16" xfId="0" applyNumberFormat="1" applyFont="1" applyBorder="1" applyAlignment="1">
      <alignment horizontal="left" wrapText="1"/>
    </xf>
    <xf numFmtId="2" fontId="9" fillId="0" borderId="21" xfId="0" applyNumberFormat="1" applyFont="1" applyBorder="1" applyAlignment="1">
      <alignment horizontal="left" wrapText="1"/>
    </xf>
    <xf numFmtId="2" fontId="11" fillId="0" borderId="13" xfId="0" applyNumberFormat="1" applyFont="1" applyBorder="1" applyAlignment="1">
      <alignment horizontal="left" vertical="center"/>
    </xf>
    <xf numFmtId="0" fontId="18" fillId="0" borderId="4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2" fontId="11" fillId="0" borderId="15" xfId="0" applyNumberFormat="1" applyFont="1" applyBorder="1" applyAlignment="1">
      <alignment horizontal="left" vertical="center"/>
    </xf>
    <xf numFmtId="2" fontId="11" fillId="0" borderId="25" xfId="0" applyNumberFormat="1" applyFont="1" applyBorder="1" applyAlignment="1">
      <alignment horizontal="left" vertical="center"/>
    </xf>
    <xf numFmtId="2" fontId="11" fillId="0" borderId="24" xfId="0" applyNumberFormat="1" applyFont="1" applyBorder="1" applyAlignment="1">
      <alignment horizontal="left" vertical="center"/>
    </xf>
    <xf numFmtId="0" fontId="3" fillId="0" borderId="0" xfId="0" applyFont="1"/>
    <xf numFmtId="0" fontId="12" fillId="0" borderId="46" xfId="0" applyFont="1" applyBorder="1" applyAlignment="1">
      <alignment horizontal="left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1" fontId="17" fillId="0" borderId="16" xfId="0" applyNumberFormat="1" applyFont="1" applyBorder="1" applyAlignment="1">
      <alignment horizontal="left" vertical="center"/>
    </xf>
    <xf numFmtId="1" fontId="17" fillId="0" borderId="14" xfId="0" applyNumberFormat="1" applyFont="1" applyBorder="1" applyAlignment="1">
      <alignment horizontal="left" vertical="center"/>
    </xf>
    <xf numFmtId="1" fontId="17" fillId="0" borderId="15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20" fillId="0" borderId="14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0" xfId="0" applyFont="1" applyAlignment="1">
      <alignment horizontal="left"/>
    </xf>
    <xf numFmtId="2" fontId="20" fillId="0" borderId="13" xfId="0" applyNumberFormat="1" applyFont="1" applyBorder="1" applyAlignment="1">
      <alignment horizontal="left" vertical="center"/>
    </xf>
    <xf numFmtId="2" fontId="20" fillId="0" borderId="14" xfId="0" applyNumberFormat="1" applyFont="1" applyBorder="1" applyAlignment="1">
      <alignment horizontal="left" vertical="center"/>
    </xf>
    <xf numFmtId="2" fontId="20" fillId="0" borderId="15" xfId="0" applyNumberFormat="1" applyFont="1" applyBorder="1" applyAlignment="1">
      <alignment horizontal="left" vertical="center"/>
    </xf>
    <xf numFmtId="2" fontId="20" fillId="0" borderId="16" xfId="0" applyNumberFormat="1" applyFont="1" applyBorder="1" applyAlignment="1">
      <alignment horizontal="left"/>
    </xf>
    <xf numFmtId="2" fontId="20" fillId="0" borderId="14" xfId="0" applyNumberFormat="1" applyFont="1" applyBorder="1" applyAlignment="1">
      <alignment horizontal="left"/>
    </xf>
    <xf numFmtId="2" fontId="20" fillId="0" borderId="15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1" fontId="20" fillId="0" borderId="16" xfId="0" applyNumberFormat="1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1" fontId="20" fillId="0" borderId="15" xfId="0" applyNumberFormat="1" applyFont="1" applyBorder="1" applyAlignment="1">
      <alignment horizontal="left"/>
    </xf>
    <xf numFmtId="2" fontId="20" fillId="0" borderId="16" xfId="2" applyNumberFormat="1" applyFont="1" applyBorder="1" applyAlignment="1">
      <alignment horizontal="left"/>
    </xf>
    <xf numFmtId="2" fontId="20" fillId="0" borderId="14" xfId="2" applyNumberFormat="1" applyFont="1" applyBorder="1" applyAlignment="1">
      <alignment horizontal="left"/>
    </xf>
    <xf numFmtId="2" fontId="20" fillId="0" borderId="15" xfId="2" applyNumberFormat="1" applyFont="1" applyBorder="1" applyAlignment="1">
      <alignment horizontal="left"/>
    </xf>
    <xf numFmtId="2" fontId="20" fillId="0" borderId="16" xfId="0" applyNumberFormat="1" applyFont="1" applyBorder="1" applyAlignment="1">
      <alignment horizontal="left" wrapText="1"/>
    </xf>
    <xf numFmtId="0" fontId="20" fillId="0" borderId="16" xfId="0" applyFont="1" applyBorder="1" applyAlignment="1">
      <alignment horizontal="left"/>
    </xf>
    <xf numFmtId="2" fontId="20" fillId="0" borderId="16" xfId="0" applyNumberFormat="1" applyFont="1" applyFill="1" applyBorder="1" applyAlignment="1">
      <alignment horizontal="left"/>
    </xf>
    <xf numFmtId="2" fontId="20" fillId="0" borderId="14" xfId="0" applyNumberFormat="1" applyFont="1" applyFill="1" applyBorder="1" applyAlignment="1">
      <alignment horizontal="left"/>
    </xf>
    <xf numFmtId="2" fontId="20" fillId="0" borderId="15" xfId="0" applyNumberFormat="1" applyFont="1" applyFill="1" applyBorder="1" applyAlignment="1">
      <alignment horizontal="left"/>
    </xf>
    <xf numFmtId="2" fontId="20" fillId="0" borderId="16" xfId="1" applyNumberFormat="1" applyFont="1" applyBorder="1" applyAlignment="1">
      <alignment horizontal="left"/>
    </xf>
    <xf numFmtId="2" fontId="20" fillId="0" borderId="14" xfId="1" applyNumberFormat="1" applyFont="1" applyBorder="1" applyAlignment="1">
      <alignment horizontal="left"/>
    </xf>
    <xf numFmtId="2" fontId="20" fillId="0" borderId="15" xfId="1" applyNumberFormat="1" applyFont="1" applyBorder="1" applyAlignment="1">
      <alignment horizontal="left"/>
    </xf>
    <xf numFmtId="2" fontId="17" fillId="0" borderId="16" xfId="0" applyNumberFormat="1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2" fontId="17" fillId="0" borderId="47" xfId="0" applyNumberFormat="1" applyFont="1" applyBorder="1" applyAlignment="1">
      <alignment horizontal="left"/>
    </xf>
    <xf numFmtId="2" fontId="17" fillId="0" borderId="14" xfId="0" applyNumberFormat="1" applyFont="1" applyBorder="1" applyAlignment="1">
      <alignment horizontal="left"/>
    </xf>
    <xf numFmtId="1" fontId="20" fillId="0" borderId="13" xfId="0" applyNumberFormat="1" applyFont="1" applyBorder="1" applyAlignment="1">
      <alignment horizontal="left" vertical="center"/>
    </xf>
    <xf numFmtId="1" fontId="20" fillId="0" borderId="14" xfId="0" applyNumberFormat="1" applyFont="1" applyBorder="1" applyAlignment="1">
      <alignment horizontal="left" vertical="center"/>
    </xf>
    <xf numFmtId="1" fontId="20" fillId="0" borderId="15" xfId="0" applyNumberFormat="1" applyFont="1" applyBorder="1" applyAlignment="1">
      <alignment horizontal="left" vertical="center"/>
    </xf>
    <xf numFmtId="1" fontId="20" fillId="0" borderId="2" xfId="0" applyNumberFormat="1" applyFont="1" applyBorder="1" applyAlignment="1">
      <alignment horizontal="left"/>
    </xf>
    <xf numFmtId="1" fontId="20" fillId="0" borderId="0" xfId="0" applyNumberFormat="1" applyFont="1" applyBorder="1" applyAlignment="1">
      <alignment horizontal="left"/>
    </xf>
    <xf numFmtId="1" fontId="20" fillId="0" borderId="17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left"/>
    </xf>
    <xf numFmtId="1" fontId="20" fillId="0" borderId="14" xfId="2" applyNumberFormat="1" applyFont="1" applyBorder="1" applyAlignment="1">
      <alignment horizontal="left"/>
    </xf>
    <xf numFmtId="1" fontId="20" fillId="0" borderId="15" xfId="2" applyNumberFormat="1" applyFont="1" applyBorder="1" applyAlignment="1">
      <alignment horizontal="left"/>
    </xf>
    <xf numFmtId="3" fontId="12" fillId="0" borderId="16" xfId="0" applyNumberFormat="1" applyFont="1" applyBorder="1" applyAlignment="1">
      <alignment horizontal="left"/>
    </xf>
    <xf numFmtId="1" fontId="20" fillId="0" borderId="16" xfId="0" applyNumberFormat="1" applyFont="1" applyFill="1" applyBorder="1" applyAlignment="1">
      <alignment horizontal="left"/>
    </xf>
    <xf numFmtId="1" fontId="20" fillId="0" borderId="14" xfId="0" applyNumberFormat="1" applyFont="1" applyFill="1" applyBorder="1" applyAlignment="1">
      <alignment horizontal="left"/>
    </xf>
    <xf numFmtId="1" fontId="20" fillId="0" borderId="15" xfId="0" applyNumberFormat="1" applyFont="1" applyFill="1" applyBorder="1" applyAlignment="1">
      <alignment horizontal="left"/>
    </xf>
    <xf numFmtId="1" fontId="20" fillId="0" borderId="16" xfId="1" applyNumberFormat="1" applyFont="1" applyBorder="1" applyAlignment="1">
      <alignment horizontal="left"/>
    </xf>
    <xf numFmtId="1" fontId="20" fillId="0" borderId="14" xfId="1" applyNumberFormat="1" applyFont="1" applyBorder="1" applyAlignment="1">
      <alignment horizontal="left"/>
    </xf>
    <xf numFmtId="1" fontId="20" fillId="0" borderId="15" xfId="1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left"/>
    </xf>
    <xf numFmtId="1" fontId="17" fillId="0" borderId="46" xfId="0" applyNumberFormat="1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1" fontId="17" fillId="0" borderId="13" xfId="0" applyNumberFormat="1" applyFont="1" applyBorder="1" applyAlignment="1">
      <alignment horizontal="left" vertical="center"/>
    </xf>
    <xf numFmtId="1" fontId="17" fillId="0" borderId="14" xfId="0" applyNumberFormat="1" applyFont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/>
    </xf>
    <xf numFmtId="1" fontId="22" fillId="0" borderId="16" xfId="0" applyNumberFormat="1" applyFont="1" applyBorder="1" applyAlignment="1">
      <alignment horizontal="left"/>
    </xf>
    <xf numFmtId="1" fontId="22" fillId="0" borderId="14" xfId="0" applyNumberFormat="1" applyFont="1" applyBorder="1" applyAlignment="1">
      <alignment horizontal="left"/>
    </xf>
    <xf numFmtId="1" fontId="22" fillId="0" borderId="15" xfId="0" applyNumberFormat="1" applyFont="1" applyBorder="1" applyAlignment="1">
      <alignment horizontal="left"/>
    </xf>
    <xf numFmtId="3" fontId="21" fillId="0" borderId="16" xfId="0" applyNumberFormat="1" applyFont="1" applyBorder="1" applyAlignment="1">
      <alignment horizontal="left"/>
    </xf>
    <xf numFmtId="3" fontId="21" fillId="0" borderId="14" xfId="0" applyNumberFormat="1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1" fontId="7" fillId="0" borderId="25" xfId="0" applyNumberFormat="1" applyFont="1" applyBorder="1" applyAlignment="1">
      <alignment horizontal="left" vertical="center"/>
    </xf>
    <xf numFmtId="1" fontId="7" fillId="0" borderId="22" xfId="0" applyNumberFormat="1" applyFont="1" applyBorder="1" applyAlignment="1">
      <alignment horizontal="left"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/>
    </xf>
    <xf numFmtId="1" fontId="7" fillId="0" borderId="22" xfId="0" applyNumberFormat="1" applyFont="1" applyBorder="1" applyAlignment="1">
      <alignment horizontal="left"/>
    </xf>
    <xf numFmtId="1" fontId="7" fillId="0" borderId="24" xfId="0" applyNumberFormat="1" applyFont="1" applyBorder="1" applyAlignment="1">
      <alignment horizontal="left"/>
    </xf>
    <xf numFmtId="1" fontId="7" fillId="0" borderId="23" xfId="0" applyNumberFormat="1" applyFont="1" applyBorder="1" applyAlignment="1">
      <alignment horizontal="left"/>
    </xf>
    <xf numFmtId="2" fontId="7" fillId="0" borderId="21" xfId="0" applyNumberFormat="1" applyFont="1" applyBorder="1" applyAlignment="1">
      <alignment horizontal="left" wrapText="1"/>
    </xf>
    <xf numFmtId="2" fontId="7" fillId="0" borderId="22" xfId="0" applyNumberFormat="1" applyFont="1" applyBorder="1" applyAlignment="1">
      <alignment horizontal="left"/>
    </xf>
    <xf numFmtId="2" fontId="7" fillId="0" borderId="24" xfId="0" applyNumberFormat="1" applyFont="1" applyBorder="1" applyAlignment="1">
      <alignment horizontal="left"/>
    </xf>
    <xf numFmtId="3" fontId="7" fillId="0" borderId="21" xfId="0" applyNumberFormat="1" applyFont="1" applyBorder="1" applyAlignment="1">
      <alignment horizontal="left"/>
    </xf>
    <xf numFmtId="1" fontId="7" fillId="0" borderId="21" xfId="0" applyNumberFormat="1" applyFont="1" applyFill="1" applyBorder="1" applyAlignment="1">
      <alignment horizontal="left"/>
    </xf>
    <xf numFmtId="1" fontId="7" fillId="0" borderId="22" xfId="0" applyNumberFormat="1" applyFont="1" applyFill="1" applyBorder="1" applyAlignment="1">
      <alignment horizontal="left"/>
    </xf>
    <xf numFmtId="1" fontId="7" fillId="0" borderId="24" xfId="0" applyNumberFormat="1" applyFont="1" applyFill="1" applyBorder="1" applyAlignment="1">
      <alignment horizontal="left"/>
    </xf>
    <xf numFmtId="1" fontId="7" fillId="0" borderId="21" xfId="1" applyNumberFormat="1" applyFont="1" applyBorder="1" applyAlignment="1">
      <alignment horizontal="left"/>
    </xf>
    <xf numFmtId="1" fontId="7" fillId="0" borderId="22" xfId="1" applyNumberFormat="1" applyFont="1" applyBorder="1" applyAlignment="1">
      <alignment horizontal="left"/>
    </xf>
    <xf numFmtId="1" fontId="7" fillId="0" borderId="24" xfId="1" applyNumberFormat="1" applyFont="1" applyBorder="1" applyAlignment="1">
      <alignment horizontal="left"/>
    </xf>
    <xf numFmtId="1" fontId="7" fillId="0" borderId="48" xfId="0" applyNumberFormat="1" applyFont="1" applyBorder="1" applyAlignment="1">
      <alignment horizontal="left"/>
    </xf>
    <xf numFmtId="1" fontId="7" fillId="0" borderId="16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2" fontId="20" fillId="0" borderId="16" xfId="0" applyNumberFormat="1" applyFont="1" applyBorder="1" applyAlignment="1">
      <alignment horizontal="left" vertical="center"/>
    </xf>
    <xf numFmtId="2" fontId="20" fillId="0" borderId="13" xfId="0" applyNumberFormat="1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2" fontId="20" fillId="0" borderId="2" xfId="2" applyNumberFormat="1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" fontId="20" fillId="0" borderId="2" xfId="0" applyNumberFormat="1" applyFont="1" applyFill="1" applyBorder="1" applyAlignment="1">
      <alignment horizontal="left"/>
    </xf>
    <xf numFmtId="1" fontId="20" fillId="0" borderId="2" xfId="1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/>
    </xf>
    <xf numFmtId="1" fontId="17" fillId="0" borderId="3" xfId="0" applyNumberFormat="1" applyFont="1" applyBorder="1" applyAlignment="1">
      <alignment horizontal="left"/>
    </xf>
    <xf numFmtId="1" fontId="17" fillId="0" borderId="47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2" fontId="17" fillId="0" borderId="16" xfId="0" applyNumberFormat="1" applyFont="1" applyBorder="1" applyAlignment="1">
      <alignment horizontal="left" vertical="center"/>
    </xf>
    <xf numFmtId="2" fontId="17" fillId="0" borderId="14" xfId="0" applyNumberFormat="1" applyFont="1" applyBorder="1" applyAlignment="1">
      <alignment horizontal="left" vertical="center"/>
    </xf>
    <xf numFmtId="2" fontId="17" fillId="0" borderId="15" xfId="0" applyNumberFormat="1" applyFont="1" applyBorder="1" applyAlignment="1">
      <alignment horizontal="left" vertical="center"/>
    </xf>
    <xf numFmtId="2" fontId="17" fillId="0" borderId="13" xfId="0" applyNumberFormat="1" applyFont="1" applyBorder="1" applyAlignment="1">
      <alignment horizontal="left"/>
    </xf>
    <xf numFmtId="2" fontId="17" fillId="0" borderId="15" xfId="0" applyNumberFormat="1" applyFont="1" applyBorder="1" applyAlignment="1">
      <alignment horizontal="left"/>
    </xf>
    <xf numFmtId="2" fontId="22" fillId="0" borderId="16" xfId="0" applyNumberFormat="1" applyFont="1" applyBorder="1" applyAlignment="1">
      <alignment horizontal="left"/>
    </xf>
    <xf numFmtId="2" fontId="22" fillId="0" borderId="14" xfId="0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2" fontId="20" fillId="0" borderId="51" xfId="0" applyNumberFormat="1" applyFont="1" applyBorder="1" applyAlignment="1">
      <alignment horizontal="left" vertical="center"/>
    </xf>
    <xf numFmtId="2" fontId="20" fillId="0" borderId="1" xfId="0" applyNumberFormat="1" applyFont="1" applyBorder="1" applyAlignment="1">
      <alignment horizontal="left" vertical="center"/>
    </xf>
    <xf numFmtId="2" fontId="20" fillId="0" borderId="52" xfId="0" applyNumberFormat="1" applyFont="1" applyBorder="1" applyAlignment="1">
      <alignment horizontal="left" vertical="center"/>
    </xf>
    <xf numFmtId="2" fontId="20" fillId="0" borderId="53" xfId="0" applyNumberFormat="1" applyFont="1" applyBorder="1" applyAlignment="1">
      <alignment horizontal="left"/>
    </xf>
    <xf numFmtId="2" fontId="20" fillId="0" borderId="1" xfId="0" applyNumberFormat="1" applyFont="1" applyBorder="1" applyAlignment="1">
      <alignment horizontal="left"/>
    </xf>
    <xf numFmtId="1" fontId="20" fillId="0" borderId="52" xfId="0" applyNumberFormat="1" applyFont="1" applyBorder="1" applyAlignment="1">
      <alignment horizontal="left"/>
    </xf>
    <xf numFmtId="1" fontId="20" fillId="0" borderId="53" xfId="0" applyNumberFormat="1" applyFont="1" applyBorder="1" applyAlignment="1">
      <alignment horizontal="left"/>
    </xf>
    <xf numFmtId="1" fontId="20" fillId="0" borderId="1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2" fontId="20" fillId="0" borderId="51" xfId="0" applyNumberFormat="1" applyFont="1" applyBorder="1" applyAlignment="1">
      <alignment horizontal="left"/>
    </xf>
    <xf numFmtId="2" fontId="20" fillId="0" borderId="40" xfId="0" applyNumberFormat="1" applyFont="1" applyBorder="1" applyAlignment="1">
      <alignment horizontal="left"/>
    </xf>
    <xf numFmtId="1" fontId="20" fillId="0" borderId="51" xfId="0" applyNumberFormat="1" applyFont="1" applyBorder="1" applyAlignment="1">
      <alignment horizontal="left"/>
    </xf>
    <xf numFmtId="1" fontId="20" fillId="0" borderId="40" xfId="0" applyNumberFormat="1" applyFont="1" applyBorder="1" applyAlignment="1">
      <alignment horizontal="left"/>
    </xf>
    <xf numFmtId="2" fontId="20" fillId="0" borderId="51" xfId="2" applyNumberFormat="1" applyFont="1" applyBorder="1" applyAlignment="1">
      <alignment horizontal="left"/>
    </xf>
    <xf numFmtId="2" fontId="20" fillId="0" borderId="1" xfId="2" applyNumberFormat="1" applyFont="1" applyBorder="1" applyAlignment="1">
      <alignment horizontal="left"/>
    </xf>
    <xf numFmtId="2" fontId="20" fillId="0" borderId="40" xfId="2" applyNumberFormat="1" applyFont="1" applyBorder="1" applyAlignment="1">
      <alignment horizontal="left"/>
    </xf>
    <xf numFmtId="2" fontId="20" fillId="0" borderId="51" xfId="0" applyNumberFormat="1" applyFont="1" applyBorder="1" applyAlignment="1">
      <alignment horizontal="left" wrapText="1"/>
    </xf>
    <xf numFmtId="1" fontId="20" fillId="0" borderId="1" xfId="0" applyNumberFormat="1" applyFont="1" applyFill="1" applyBorder="1" applyAlignment="1">
      <alignment horizontal="left"/>
    </xf>
    <xf numFmtId="1" fontId="20" fillId="0" borderId="40" xfId="0" applyNumberFormat="1" applyFont="1" applyFill="1" applyBorder="1" applyAlignment="1">
      <alignment horizontal="left"/>
    </xf>
    <xf numFmtId="1" fontId="20" fillId="0" borderId="51" xfId="1" applyNumberFormat="1" applyFont="1" applyBorder="1" applyAlignment="1">
      <alignment horizontal="left"/>
    </xf>
    <xf numFmtId="1" fontId="20" fillId="0" borderId="1" xfId="1" applyNumberFormat="1" applyFont="1" applyBorder="1" applyAlignment="1">
      <alignment horizontal="left"/>
    </xf>
    <xf numFmtId="1" fontId="20" fillId="0" borderId="40" xfId="1" applyNumberFormat="1" applyFont="1" applyBorder="1" applyAlignment="1">
      <alignment horizontal="left"/>
    </xf>
    <xf numFmtId="1" fontId="17" fillId="0" borderId="51" xfId="0" applyNumberFormat="1" applyFont="1" applyBorder="1" applyAlignment="1">
      <alignment horizontal="left"/>
    </xf>
    <xf numFmtId="1" fontId="17" fillId="0" borderId="53" xfId="0" applyNumberFormat="1" applyFont="1" applyBorder="1" applyAlignment="1">
      <alignment horizontal="left"/>
    </xf>
    <xf numFmtId="1" fontId="17" fillId="0" borderId="54" xfId="0" applyNumberFormat="1" applyFont="1" applyBorder="1" applyAlignment="1">
      <alignment horizontal="left"/>
    </xf>
    <xf numFmtId="1" fontId="17" fillId="0" borderId="55" xfId="0" applyNumberFormat="1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0" fillId="0" borderId="27" xfId="0" applyFont="1" applyBorder="1" applyAlignment="1">
      <alignment horizontal="left"/>
    </xf>
    <xf numFmtId="1" fontId="20" fillId="0" borderId="27" xfId="0" applyNumberFormat="1" applyFont="1" applyBorder="1" applyAlignment="1">
      <alignment horizontal="left"/>
    </xf>
    <xf numFmtId="1" fontId="20" fillId="0" borderId="26" xfId="0" applyNumberFormat="1" applyFont="1" applyBorder="1" applyAlignment="1">
      <alignment horizontal="left"/>
    </xf>
    <xf numFmtId="1" fontId="20" fillId="0" borderId="33" xfId="0" applyNumberFormat="1" applyFont="1" applyBorder="1" applyAlignment="1">
      <alignment horizontal="left"/>
    </xf>
    <xf numFmtId="1" fontId="17" fillId="0" borderId="61" xfId="0" applyNumberFormat="1" applyFont="1" applyBorder="1" applyAlignment="1">
      <alignment horizontal="left"/>
    </xf>
    <xf numFmtId="1" fontId="17" fillId="0" borderId="39" xfId="0" applyNumberFormat="1" applyFont="1" applyBorder="1" applyAlignment="1">
      <alignment horizontal="left"/>
    </xf>
    <xf numFmtId="1" fontId="17" fillId="0" borderId="26" xfId="0" applyNumberFormat="1" applyFont="1" applyBorder="1" applyAlignment="1">
      <alignment horizontal="left"/>
    </xf>
    <xf numFmtId="1" fontId="17" fillId="0" borderId="27" xfId="0" applyNumberFormat="1" applyFont="1" applyBorder="1" applyAlignment="1">
      <alignment horizontal="left"/>
    </xf>
    <xf numFmtId="2" fontId="20" fillId="0" borderId="33" xfId="0" applyNumberFormat="1" applyFont="1" applyBorder="1" applyAlignment="1">
      <alignment horizontal="left"/>
    </xf>
    <xf numFmtId="2" fontId="20" fillId="0" borderId="26" xfId="0" applyNumberFormat="1" applyFont="1" applyBorder="1" applyAlignment="1">
      <alignment horizontal="left"/>
    </xf>
    <xf numFmtId="2" fontId="20" fillId="0" borderId="27" xfId="0" applyNumberFormat="1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1" fontId="17" fillId="0" borderId="34" xfId="0" applyNumberFormat="1" applyFont="1" applyBorder="1" applyAlignment="1">
      <alignment horizontal="left"/>
    </xf>
    <xf numFmtId="1" fontId="17" fillId="0" borderId="36" xfId="0" applyNumberFormat="1" applyFont="1" applyBorder="1" applyAlignment="1">
      <alignment horizontal="left"/>
    </xf>
    <xf numFmtId="1" fontId="17" fillId="0" borderId="63" xfId="0" applyNumberFormat="1" applyFont="1" applyBorder="1" applyAlignment="1">
      <alignment horizontal="left"/>
    </xf>
    <xf numFmtId="1" fontId="17" fillId="0" borderId="37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21" fillId="0" borderId="50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0" fontId="17" fillId="0" borderId="62" xfId="0" applyFont="1" applyBorder="1" applyAlignment="1">
      <alignment horizontal="left"/>
    </xf>
    <xf numFmtId="0" fontId="23" fillId="0" borderId="0" xfId="0" applyFont="1"/>
    <xf numFmtId="2" fontId="7" fillId="0" borderId="56" xfId="0" applyNumberFormat="1" applyFont="1" applyBorder="1" applyAlignment="1">
      <alignment horizontal="left" vertical="center"/>
    </xf>
    <xf numFmtId="2" fontId="7" fillId="0" borderId="57" xfId="0" applyNumberFormat="1" applyFont="1" applyBorder="1" applyAlignment="1">
      <alignment horizontal="left" vertical="center"/>
    </xf>
    <xf numFmtId="1" fontId="7" fillId="0" borderId="58" xfId="0" applyNumberFormat="1" applyFont="1" applyBorder="1" applyAlignment="1">
      <alignment horizontal="left" vertical="center"/>
    </xf>
    <xf numFmtId="1" fontId="7" fillId="0" borderId="57" xfId="0" applyNumberFormat="1" applyFont="1" applyBorder="1" applyAlignment="1">
      <alignment horizontal="left" vertical="center"/>
    </xf>
    <xf numFmtId="1" fontId="7" fillId="0" borderId="56" xfId="0" applyNumberFormat="1" applyFont="1" applyBorder="1" applyAlignment="1">
      <alignment horizontal="left" vertical="center"/>
    </xf>
    <xf numFmtId="1" fontId="7" fillId="0" borderId="7" xfId="0" applyNumberFormat="1" applyFont="1" applyBorder="1" applyAlignment="1">
      <alignment horizontal="left" vertical="center"/>
    </xf>
    <xf numFmtId="1" fontId="7" fillId="0" borderId="59" xfId="0" applyNumberFormat="1" applyFont="1" applyBorder="1" applyAlignment="1">
      <alignment horizontal="left" vertical="center"/>
    </xf>
    <xf numFmtId="1" fontId="7" fillId="0" borderId="60" xfId="0" applyNumberFormat="1" applyFont="1" applyBorder="1" applyAlignment="1">
      <alignment horizontal="left" vertical="center"/>
    </xf>
    <xf numFmtId="2" fontId="24" fillId="0" borderId="57" xfId="0" applyNumberFormat="1" applyFont="1" applyBorder="1" applyAlignment="1">
      <alignment horizontal="left" wrapText="1"/>
    </xf>
    <xf numFmtId="2" fontId="24" fillId="0" borderId="59" xfId="0" applyNumberFormat="1" applyFont="1" applyBorder="1" applyAlignment="1">
      <alignment horizontal="left"/>
    </xf>
    <xf numFmtId="1" fontId="24" fillId="0" borderId="57" xfId="0" applyNumberFormat="1" applyFont="1" applyFill="1" applyBorder="1" applyAlignment="1">
      <alignment horizontal="left"/>
    </xf>
    <xf numFmtId="1" fontId="24" fillId="0" borderId="59" xfId="0" applyNumberFormat="1" applyFont="1" applyFill="1" applyBorder="1" applyAlignment="1">
      <alignment horizontal="left"/>
    </xf>
    <xf numFmtId="1" fontId="24" fillId="0" borderId="60" xfId="0" applyNumberFormat="1" applyFont="1" applyFill="1" applyBorder="1" applyAlignment="1">
      <alignment horizontal="left"/>
    </xf>
    <xf numFmtId="1" fontId="24" fillId="0" borderId="57" xfId="1" applyNumberFormat="1" applyFont="1" applyBorder="1" applyAlignment="1">
      <alignment horizontal="left"/>
    </xf>
    <xf numFmtId="1" fontId="24" fillId="0" borderId="59" xfId="1" applyNumberFormat="1" applyFont="1" applyBorder="1" applyAlignment="1">
      <alignment horizontal="left"/>
    </xf>
    <xf numFmtId="1" fontId="24" fillId="0" borderId="60" xfId="1" applyNumberFormat="1" applyFont="1" applyBorder="1" applyAlignment="1">
      <alignment horizontal="left"/>
    </xf>
    <xf numFmtId="1" fontId="7" fillId="0" borderId="57" xfId="0" applyNumberFormat="1" applyFont="1" applyBorder="1" applyAlignment="1">
      <alignment horizontal="left"/>
    </xf>
    <xf numFmtId="1" fontId="7" fillId="0" borderId="59" xfId="0" applyNumberFormat="1" applyFont="1" applyBorder="1" applyAlignment="1">
      <alignment horizontal="left"/>
    </xf>
    <xf numFmtId="1" fontId="7" fillId="0" borderId="60" xfId="0" applyNumberFormat="1" applyFont="1" applyBorder="1" applyAlignment="1">
      <alignment horizontal="left"/>
    </xf>
    <xf numFmtId="1" fontId="7" fillId="0" borderId="58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1" fontId="7" fillId="0" borderId="9" xfId="0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2" fontId="24" fillId="0" borderId="33" xfId="0" applyNumberFormat="1" applyFont="1" applyBorder="1" applyAlignment="1">
      <alignment horizontal="left"/>
    </xf>
    <xf numFmtId="2" fontId="24" fillId="0" borderId="26" xfId="0" applyNumberFormat="1" applyFont="1" applyBorder="1" applyAlignment="1">
      <alignment horizontal="left"/>
    </xf>
    <xf numFmtId="2" fontId="24" fillId="0" borderId="27" xfId="0" applyNumberFormat="1" applyFont="1" applyBorder="1" applyAlignment="1">
      <alignment horizontal="left"/>
    </xf>
    <xf numFmtId="1" fontId="24" fillId="0" borderId="27" xfId="0" applyNumberFormat="1" applyFont="1" applyBorder="1" applyAlignment="1">
      <alignment horizontal="left"/>
    </xf>
    <xf numFmtId="1" fontId="24" fillId="0" borderId="26" xfId="0" applyNumberFormat="1" applyFont="1" applyBorder="1" applyAlignment="1">
      <alignment horizontal="left"/>
    </xf>
    <xf numFmtId="1" fontId="24" fillId="0" borderId="33" xfId="0" applyNumberFormat="1" applyFont="1" applyBorder="1" applyAlignment="1">
      <alignment horizontal="left"/>
    </xf>
    <xf numFmtId="1" fontId="7" fillId="0" borderId="25" xfId="0" applyNumberFormat="1" applyFont="1" applyBorder="1" applyAlignment="1">
      <alignment horizontal="left"/>
    </xf>
    <xf numFmtId="1" fontId="7" fillId="0" borderId="42" xfId="0" applyNumberFormat="1" applyFont="1" applyBorder="1" applyAlignment="1">
      <alignment horizontal="left"/>
    </xf>
    <xf numFmtId="1" fontId="7" fillId="0" borderId="64" xfId="0" applyNumberFormat="1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17" fillId="0" borderId="34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1" fontId="17" fillId="0" borderId="35" xfId="0" applyNumberFormat="1" applyFont="1" applyBorder="1" applyAlignment="1">
      <alignment horizontal="left" vertical="center"/>
    </xf>
    <xf numFmtId="1" fontId="17" fillId="0" borderId="36" xfId="0" applyNumberFormat="1" applyFont="1" applyBorder="1" applyAlignment="1">
      <alignment horizontal="left" vertical="center"/>
    </xf>
    <xf numFmtId="1" fontId="17" fillId="0" borderId="28" xfId="0" applyNumberFormat="1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1" fontId="17" fillId="0" borderId="34" xfId="0" applyNumberFormat="1" applyFont="1" applyBorder="1" applyAlignment="1">
      <alignment horizontal="left" vertical="center"/>
    </xf>
    <xf numFmtId="1" fontId="17" fillId="0" borderId="65" xfId="0" applyNumberFormat="1" applyFont="1" applyBorder="1" applyAlignment="1">
      <alignment horizontal="left" vertical="center"/>
    </xf>
    <xf numFmtId="1" fontId="20" fillId="0" borderId="28" xfId="0" applyNumberFormat="1" applyFont="1" applyBorder="1" applyAlignment="1">
      <alignment horizontal="left"/>
    </xf>
    <xf numFmtId="1" fontId="20" fillId="0" borderId="35" xfId="0" applyNumberFormat="1" applyFont="1" applyBorder="1" applyAlignment="1">
      <alignment horizontal="left"/>
    </xf>
    <xf numFmtId="1" fontId="7" fillId="0" borderId="26" xfId="0" applyNumberFormat="1" applyFont="1" applyBorder="1" applyAlignment="1">
      <alignment horizontal="left"/>
    </xf>
    <xf numFmtId="1" fontId="20" fillId="0" borderId="0" xfId="0" applyNumberFormat="1" applyFont="1"/>
    <xf numFmtId="1" fontId="20" fillId="0" borderId="14" xfId="0" applyNumberFormat="1" applyFont="1" applyBorder="1"/>
    <xf numFmtId="1" fontId="20" fillId="0" borderId="15" xfId="0" applyNumberFormat="1" applyFont="1" applyBorder="1"/>
    <xf numFmtId="1" fontId="12" fillId="0" borderId="2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vertical="center"/>
    </xf>
    <xf numFmtId="1" fontId="17" fillId="0" borderId="14" xfId="0" applyNumberFormat="1" applyFont="1" applyBorder="1" applyAlignment="1">
      <alignment vertical="center"/>
    </xf>
    <xf numFmtId="1" fontId="17" fillId="0" borderId="15" xfId="0" applyNumberFormat="1" applyFont="1" applyBorder="1" applyAlignment="1">
      <alignment vertical="center"/>
    </xf>
    <xf numFmtId="1" fontId="17" fillId="0" borderId="13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vertical="center"/>
    </xf>
    <xf numFmtId="1" fontId="20" fillId="0" borderId="14" xfId="0" applyNumberFormat="1" applyFont="1" applyBorder="1" applyAlignment="1">
      <alignment vertical="center"/>
    </xf>
    <xf numFmtId="1" fontId="20" fillId="0" borderId="15" xfId="0" applyNumberFormat="1" applyFont="1" applyBorder="1" applyAlignment="1">
      <alignment vertical="center"/>
    </xf>
    <xf numFmtId="1" fontId="20" fillId="0" borderId="13" xfId="0" applyNumberFormat="1" applyFont="1" applyBorder="1" applyAlignment="1">
      <alignment horizontal="right"/>
    </xf>
    <xf numFmtId="1" fontId="20" fillId="0" borderId="14" xfId="0" applyNumberFormat="1" applyFont="1" applyBorder="1" applyAlignment="1">
      <alignment horizontal="right"/>
    </xf>
    <xf numFmtId="1" fontId="20" fillId="0" borderId="15" xfId="0" applyNumberFormat="1" applyFont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1" fontId="20" fillId="0" borderId="13" xfId="2" applyNumberFormat="1" applyFont="1" applyBorder="1" applyAlignment="1">
      <alignment horizontal="right"/>
    </xf>
    <xf numFmtId="1" fontId="20" fillId="0" borderId="14" xfId="2" applyNumberFormat="1" applyFont="1" applyBorder="1" applyAlignment="1">
      <alignment horizontal="right"/>
    </xf>
    <xf numFmtId="1" fontId="20" fillId="0" borderId="15" xfId="2" applyNumberFormat="1" applyFont="1" applyBorder="1" applyAlignment="1">
      <alignment horizontal="right"/>
    </xf>
    <xf numFmtId="1" fontId="20" fillId="0" borderId="13" xfId="0" applyNumberFormat="1" applyFont="1" applyBorder="1" applyAlignment="1">
      <alignment horizontal="right" wrapText="1"/>
    </xf>
    <xf numFmtId="1" fontId="12" fillId="0" borderId="13" xfId="0" applyNumberFormat="1" applyFont="1" applyBorder="1" applyAlignment="1">
      <alignment horizontal="right"/>
    </xf>
    <xf numFmtId="1" fontId="12" fillId="0" borderId="14" xfId="0" applyNumberFormat="1" applyFont="1" applyBorder="1" applyAlignment="1">
      <alignment horizontal="right"/>
    </xf>
    <xf numFmtId="1" fontId="12" fillId="0" borderId="15" xfId="0" applyNumberFormat="1" applyFont="1" applyBorder="1" applyAlignment="1">
      <alignment horizontal="right"/>
    </xf>
    <xf numFmtId="1" fontId="20" fillId="0" borderId="13" xfId="0" applyNumberFormat="1" applyFont="1" applyFill="1" applyBorder="1" applyAlignment="1">
      <alignment horizontal="right"/>
    </xf>
    <xf numFmtId="1" fontId="20" fillId="0" borderId="14" xfId="0" applyNumberFormat="1" applyFont="1" applyFill="1" applyBorder="1" applyAlignment="1">
      <alignment horizontal="right"/>
    </xf>
    <xf numFmtId="1" fontId="20" fillId="0" borderId="15" xfId="0" applyNumberFormat="1" applyFont="1" applyFill="1" applyBorder="1" applyAlignment="1">
      <alignment horizontal="right"/>
    </xf>
    <xf numFmtId="1" fontId="20" fillId="0" borderId="13" xfId="1" applyNumberFormat="1" applyFont="1" applyBorder="1" applyAlignment="1">
      <alignment horizontal="right"/>
    </xf>
    <xf numFmtId="1" fontId="20" fillId="0" borderId="14" xfId="1" applyNumberFormat="1" applyFont="1" applyBorder="1" applyAlignment="1">
      <alignment horizontal="right"/>
    </xf>
    <xf numFmtId="1" fontId="20" fillId="0" borderId="15" xfId="1" applyNumberFormat="1" applyFont="1" applyBorder="1" applyAlignment="1">
      <alignment horizontal="right"/>
    </xf>
    <xf numFmtId="1" fontId="17" fillId="0" borderId="13" xfId="0" applyNumberFormat="1" applyFont="1" applyBorder="1" applyAlignment="1">
      <alignment horizontal="right"/>
    </xf>
    <xf numFmtId="1" fontId="21" fillId="0" borderId="2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right"/>
    </xf>
    <xf numFmtId="1" fontId="21" fillId="0" borderId="14" xfId="0" applyNumberFormat="1" applyFont="1" applyBorder="1" applyAlignment="1">
      <alignment horizontal="right"/>
    </xf>
    <xf numFmtId="1" fontId="17" fillId="0" borderId="14" xfId="0" applyNumberFormat="1" applyFont="1" applyBorder="1" applyAlignment="1">
      <alignment horizontal="right"/>
    </xf>
    <xf numFmtId="1" fontId="17" fillId="0" borderId="15" xfId="0" applyNumberFormat="1" applyFont="1" applyBorder="1" applyAlignment="1">
      <alignment horizontal="right"/>
    </xf>
    <xf numFmtId="1" fontId="22" fillId="0" borderId="13" xfId="0" applyNumberFormat="1" applyFont="1" applyBorder="1" applyAlignment="1">
      <alignment horizontal="right"/>
    </xf>
    <xf numFmtId="1" fontId="22" fillId="0" borderId="14" xfId="0" applyNumberFormat="1" applyFont="1" applyBorder="1" applyAlignment="1">
      <alignment horizontal="right"/>
    </xf>
    <xf numFmtId="1" fontId="22" fillId="0" borderId="15" xfId="0" applyNumberFormat="1" applyFont="1" applyBorder="1" applyAlignment="1">
      <alignment horizontal="right"/>
    </xf>
    <xf numFmtId="1" fontId="20" fillId="0" borderId="13" xfId="0" applyNumberFormat="1" applyFont="1" applyBorder="1"/>
    <xf numFmtId="1" fontId="20" fillId="0" borderId="51" xfId="0" applyNumberFormat="1" applyFont="1" applyBorder="1" applyAlignment="1">
      <alignment vertical="center"/>
    </xf>
    <xf numFmtId="1" fontId="20" fillId="0" borderId="53" xfId="0" applyNumberFormat="1" applyFont="1" applyBorder="1" applyAlignment="1">
      <alignment vertical="center"/>
    </xf>
    <xf numFmtId="1" fontId="20" fillId="0" borderId="52" xfId="0" applyNumberFormat="1" applyFont="1" applyBorder="1" applyAlignment="1">
      <alignment vertical="center"/>
    </xf>
    <xf numFmtId="1" fontId="20" fillId="0" borderId="53" xfId="0" applyNumberFormat="1" applyFont="1" applyBorder="1" applyAlignment="1">
      <alignment horizontal="right"/>
    </xf>
    <xf numFmtId="1" fontId="20" fillId="0" borderId="1" xfId="0" applyNumberFormat="1" applyFont="1" applyBorder="1" applyAlignment="1">
      <alignment horizontal="right"/>
    </xf>
    <xf numFmtId="1" fontId="20" fillId="0" borderId="52" xfId="0" applyNumberFormat="1" applyFont="1" applyBorder="1" applyAlignment="1">
      <alignment horizontal="right"/>
    </xf>
    <xf numFmtId="1" fontId="20" fillId="0" borderId="53" xfId="2" applyNumberFormat="1" applyFont="1" applyBorder="1" applyAlignment="1">
      <alignment horizontal="right"/>
    </xf>
    <xf numFmtId="1" fontId="20" fillId="0" borderId="1" xfId="2" applyNumberFormat="1" applyFont="1" applyBorder="1" applyAlignment="1">
      <alignment horizontal="right"/>
    </xf>
    <xf numFmtId="1" fontId="20" fillId="0" borderId="52" xfId="2" applyNumberFormat="1" applyFont="1" applyBorder="1" applyAlignment="1">
      <alignment horizontal="right"/>
    </xf>
    <xf numFmtId="1" fontId="20" fillId="0" borderId="53" xfId="0" applyNumberFormat="1" applyFont="1" applyBorder="1" applyAlignment="1">
      <alignment horizontal="right" wrapText="1"/>
    </xf>
    <xf numFmtId="1" fontId="20" fillId="0" borderId="1" xfId="0" applyNumberFormat="1" applyFont="1" applyBorder="1"/>
    <xf numFmtId="1" fontId="20" fillId="0" borderId="52" xfId="0" applyNumberFormat="1" applyFont="1" applyBorder="1"/>
    <xf numFmtId="1" fontId="12" fillId="0" borderId="53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1" fontId="12" fillId="0" borderId="52" xfId="0" applyNumberFormat="1" applyFont="1" applyBorder="1" applyAlignment="1">
      <alignment horizontal="right"/>
    </xf>
    <xf numFmtId="1" fontId="20" fillId="0" borderId="53" xfId="0" applyNumberFormat="1" applyFont="1" applyFill="1" applyBorder="1" applyAlignment="1">
      <alignment horizontal="right"/>
    </xf>
    <xf numFmtId="1" fontId="20" fillId="0" borderId="1" xfId="0" applyNumberFormat="1" applyFont="1" applyFill="1" applyBorder="1" applyAlignment="1">
      <alignment horizontal="right"/>
    </xf>
    <xf numFmtId="1" fontId="20" fillId="0" borderId="52" xfId="0" applyNumberFormat="1" applyFont="1" applyFill="1" applyBorder="1" applyAlignment="1">
      <alignment horizontal="right"/>
    </xf>
    <xf numFmtId="1" fontId="20" fillId="0" borderId="53" xfId="1" applyNumberFormat="1" applyFont="1" applyBorder="1" applyAlignment="1">
      <alignment horizontal="right"/>
    </xf>
    <xf numFmtId="1" fontId="20" fillId="0" borderId="1" xfId="1" applyNumberFormat="1" applyFont="1" applyBorder="1" applyAlignment="1">
      <alignment horizontal="right"/>
    </xf>
    <xf numFmtId="1" fontId="20" fillId="0" borderId="52" xfId="1" applyNumberFormat="1" applyFont="1" applyBorder="1" applyAlignment="1">
      <alignment horizontal="right"/>
    </xf>
    <xf numFmtId="1" fontId="20" fillId="0" borderId="54" xfId="0" applyNumberFormat="1" applyFont="1" applyBorder="1" applyAlignment="1">
      <alignment vertical="center"/>
    </xf>
    <xf numFmtId="1" fontId="20" fillId="0" borderId="54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left"/>
    </xf>
    <xf numFmtId="1" fontId="20" fillId="0" borderId="21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right"/>
    </xf>
    <xf numFmtId="1" fontId="7" fillId="0" borderId="22" xfId="0" applyNumberFormat="1" applyFont="1" applyBorder="1" applyAlignment="1">
      <alignment horizontal="right"/>
    </xf>
    <xf numFmtId="1" fontId="20" fillId="0" borderId="25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1" fontId="6" fillId="0" borderId="19" xfId="0" applyNumberFormat="1" applyFont="1" applyBorder="1" applyAlignment="1">
      <alignment horizontal="left" vertical="center"/>
    </xf>
    <xf numFmtId="1" fontId="6" fillId="0" borderId="29" xfId="0" applyNumberFormat="1" applyFont="1" applyBorder="1" applyAlignment="1">
      <alignment horizontal="left" vertical="center"/>
    </xf>
    <xf numFmtId="1" fontId="6" fillId="0" borderId="20" xfId="0" applyNumberFormat="1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left"/>
    </xf>
    <xf numFmtId="1" fontId="21" fillId="0" borderId="29" xfId="0" applyNumberFormat="1" applyFont="1" applyBorder="1" applyAlignment="1">
      <alignment horizontal="left"/>
    </xf>
    <xf numFmtId="1" fontId="21" fillId="0" borderId="20" xfId="0" applyNumberFormat="1" applyFont="1" applyBorder="1" applyAlignment="1">
      <alignment horizontal="left"/>
    </xf>
    <xf numFmtId="1" fontId="6" fillId="0" borderId="49" xfId="0" applyNumberFormat="1" applyFont="1" applyBorder="1" applyAlignment="1">
      <alignment horizontal="left" vertical="center"/>
    </xf>
    <xf numFmtId="1" fontId="12" fillId="0" borderId="66" xfId="0" applyNumberFormat="1" applyFont="1" applyBorder="1" applyAlignment="1">
      <alignment horizontal="left"/>
    </xf>
    <xf numFmtId="1" fontId="8" fillId="0" borderId="16" xfId="0" applyNumberFormat="1" applyFont="1" applyBorder="1" applyAlignment="1">
      <alignment horizontal="left" vertical="center"/>
    </xf>
    <xf numFmtId="1" fontId="8" fillId="0" borderId="14" xfId="0" applyNumberFormat="1" applyFont="1" applyBorder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1" fontId="8" fillId="0" borderId="13" xfId="0" applyNumberFormat="1" applyFont="1" applyBorder="1" applyAlignment="1">
      <alignment horizontal="left"/>
    </xf>
    <xf numFmtId="1" fontId="8" fillId="0" borderId="14" xfId="0" applyNumberFormat="1" applyFont="1" applyBorder="1" applyAlignment="1">
      <alignment horizontal="left"/>
    </xf>
    <xf numFmtId="1" fontId="8" fillId="0" borderId="15" xfId="0" applyNumberFormat="1" applyFont="1" applyBorder="1" applyAlignment="1">
      <alignment horizontal="left"/>
    </xf>
    <xf numFmtId="1" fontId="8" fillId="0" borderId="13" xfId="2" applyNumberFormat="1" applyFont="1" applyBorder="1" applyAlignment="1">
      <alignment horizontal="left"/>
    </xf>
    <xf numFmtId="1" fontId="8" fillId="0" borderId="14" xfId="2" applyNumberFormat="1" applyFont="1" applyBorder="1" applyAlignment="1">
      <alignment horizontal="left"/>
    </xf>
    <xf numFmtId="1" fontId="8" fillId="0" borderId="15" xfId="2" applyNumberFormat="1" applyFont="1" applyBorder="1" applyAlignment="1">
      <alignment horizontal="left"/>
    </xf>
    <xf numFmtId="1" fontId="8" fillId="0" borderId="13" xfId="0" applyNumberFormat="1" applyFont="1" applyBorder="1" applyAlignment="1">
      <alignment horizontal="left" wrapText="1"/>
    </xf>
    <xf numFmtId="1" fontId="21" fillId="0" borderId="13" xfId="0" applyNumberFormat="1" applyFont="1" applyBorder="1" applyAlignment="1">
      <alignment horizontal="left"/>
    </xf>
    <xf numFmtId="1" fontId="21" fillId="0" borderId="14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1" fontId="8" fillId="0" borderId="16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8" fillId="0" borderId="16" xfId="1" applyNumberFormat="1" applyFont="1" applyBorder="1" applyAlignment="1">
      <alignment horizontal="left"/>
    </xf>
    <xf numFmtId="1" fontId="8" fillId="0" borderId="14" xfId="1" applyNumberFormat="1" applyFont="1" applyBorder="1" applyAlignment="1">
      <alignment horizontal="left"/>
    </xf>
    <xf numFmtId="1" fontId="8" fillId="0" borderId="15" xfId="1" applyNumberFormat="1" applyFont="1" applyBorder="1" applyAlignment="1">
      <alignment horizontal="left"/>
    </xf>
    <xf numFmtId="1" fontId="8" fillId="0" borderId="16" xfId="0" applyNumberFormat="1" applyFont="1" applyBorder="1" applyAlignment="1">
      <alignment horizontal="left"/>
    </xf>
    <xf numFmtId="1" fontId="6" fillId="0" borderId="16" xfId="0" applyNumberFormat="1" applyFont="1" applyBorder="1" applyAlignment="1">
      <alignment horizontal="left" vertical="center"/>
    </xf>
    <xf numFmtId="1" fontId="6" fillId="0" borderId="46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left"/>
    </xf>
    <xf numFmtId="1" fontId="6" fillId="0" borderId="14" xfId="0" applyNumberFormat="1" applyFont="1" applyBorder="1" applyAlignment="1">
      <alignment horizontal="left" vertical="center"/>
    </xf>
    <xf numFmtId="1" fontId="6" fillId="0" borderId="15" xfId="0" applyNumberFormat="1" applyFont="1" applyBorder="1" applyAlignment="1">
      <alignment horizontal="left" vertical="center"/>
    </xf>
    <xf numFmtId="1" fontId="6" fillId="0" borderId="13" xfId="0" applyNumberFormat="1" applyFont="1" applyBorder="1" applyAlignment="1">
      <alignment horizontal="left"/>
    </xf>
    <xf numFmtId="1" fontId="6" fillId="0" borderId="14" xfId="0" applyNumberFormat="1" applyFont="1" applyBorder="1" applyAlignment="1">
      <alignment horizontal="left"/>
    </xf>
    <xf numFmtId="1" fontId="6" fillId="0" borderId="15" xfId="0" applyNumberFormat="1" applyFont="1" applyBorder="1" applyAlignment="1">
      <alignment horizontal="left"/>
    </xf>
    <xf numFmtId="1" fontId="16" fillId="0" borderId="13" xfId="0" applyNumberFormat="1" applyFont="1" applyBorder="1" applyAlignment="1">
      <alignment horizontal="left"/>
    </xf>
    <xf numFmtId="1" fontId="16" fillId="0" borderId="14" xfId="0" applyNumberFormat="1" applyFont="1" applyBorder="1" applyAlignment="1">
      <alignment horizontal="left"/>
    </xf>
    <xf numFmtId="1" fontId="16" fillId="0" borderId="15" xfId="0" applyNumberFormat="1" applyFont="1" applyBorder="1" applyAlignment="1">
      <alignment horizontal="left"/>
    </xf>
    <xf numFmtId="1" fontId="6" fillId="0" borderId="16" xfId="0" applyNumberFormat="1" applyFont="1" applyBorder="1" applyAlignment="1">
      <alignment horizontal="left"/>
    </xf>
    <xf numFmtId="1" fontId="3" fillId="0" borderId="13" xfId="0" applyNumberFormat="1" applyFont="1" applyBorder="1" applyAlignment="1">
      <alignment horizontal="left"/>
    </xf>
    <xf numFmtId="1" fontId="3" fillId="0" borderId="14" xfId="0" applyNumberFormat="1" applyFont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" fontId="3" fillId="0" borderId="17" xfId="0" applyNumberFormat="1" applyFont="1" applyBorder="1" applyAlignment="1">
      <alignment horizontal="left"/>
    </xf>
    <xf numFmtId="1" fontId="12" fillId="0" borderId="67" xfId="0" applyNumberFormat="1" applyFont="1" applyBorder="1" applyAlignment="1">
      <alignment horizontal="left"/>
    </xf>
    <xf numFmtId="1" fontId="6" fillId="0" borderId="5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52" xfId="0" applyNumberFormat="1" applyFont="1" applyBorder="1" applyAlignment="1">
      <alignment horizontal="left" vertical="center"/>
    </xf>
    <xf numFmtId="1" fontId="6" fillId="0" borderId="53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0" borderId="52" xfId="0" applyNumberFormat="1" applyFont="1" applyBorder="1" applyAlignment="1">
      <alignment horizontal="left"/>
    </xf>
    <xf numFmtId="1" fontId="8" fillId="0" borderId="53" xfId="2" applyNumberFormat="1" applyFont="1" applyBorder="1" applyAlignment="1">
      <alignment horizontal="left"/>
    </xf>
    <xf numFmtId="1" fontId="8" fillId="0" borderId="1" xfId="2" applyNumberFormat="1" applyFont="1" applyBorder="1" applyAlignment="1">
      <alignment horizontal="left"/>
    </xf>
    <xf numFmtId="1" fontId="8" fillId="0" borderId="52" xfId="2" applyNumberFormat="1" applyFont="1" applyBorder="1" applyAlignment="1">
      <alignment horizontal="left"/>
    </xf>
    <xf numFmtId="1" fontId="16" fillId="0" borderId="53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16" fillId="0" borderId="52" xfId="0" applyNumberFormat="1" applyFont="1" applyBorder="1" applyAlignment="1">
      <alignment horizontal="left"/>
    </xf>
    <xf numFmtId="1" fontId="8" fillId="0" borderId="53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/>
    </xf>
    <xf numFmtId="1" fontId="8" fillId="0" borderId="52" xfId="0" applyNumberFormat="1" applyFont="1" applyBorder="1" applyAlignment="1">
      <alignment horizontal="left"/>
    </xf>
    <xf numFmtId="1" fontId="21" fillId="0" borderId="53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1" fillId="0" borderId="52" xfId="0" applyNumberFormat="1" applyFont="1" applyBorder="1" applyAlignment="1">
      <alignment horizontal="left"/>
    </xf>
    <xf numFmtId="1" fontId="8" fillId="0" borderId="51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1" fontId="8" fillId="0" borderId="52" xfId="0" applyNumberFormat="1" applyFont="1" applyFill="1" applyBorder="1" applyAlignment="1">
      <alignment horizontal="left"/>
    </xf>
    <xf numFmtId="1" fontId="8" fillId="0" borderId="5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left"/>
    </xf>
    <xf numFmtId="1" fontId="8" fillId="0" borderId="52" xfId="1" applyNumberFormat="1" applyFont="1" applyBorder="1" applyAlignment="1">
      <alignment horizontal="left"/>
    </xf>
    <xf numFmtId="1" fontId="6" fillId="0" borderId="51" xfId="0" applyNumberFormat="1" applyFont="1" applyBorder="1" applyAlignment="1">
      <alignment horizontal="left"/>
    </xf>
    <xf numFmtId="1" fontId="7" fillId="0" borderId="67" xfId="0" applyNumberFormat="1" applyFont="1" applyBorder="1" applyAlignment="1">
      <alignment horizontal="left"/>
    </xf>
    <xf numFmtId="1" fontId="8" fillId="0" borderId="5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1" fontId="8" fillId="0" borderId="52" xfId="0" applyNumberFormat="1" applyFont="1" applyBorder="1" applyAlignment="1">
      <alignment horizontal="left" vertical="center"/>
    </xf>
    <xf numFmtId="1" fontId="8" fillId="0" borderId="53" xfId="0" applyNumberFormat="1" applyFont="1" applyBorder="1" applyAlignment="1">
      <alignment horizontal="left"/>
    </xf>
    <xf numFmtId="1" fontId="8" fillId="0" borderId="53" xfId="1" applyNumberFormat="1" applyFont="1" applyBorder="1" applyAlignment="1">
      <alignment horizontal="left"/>
    </xf>
    <xf numFmtId="1" fontId="7" fillId="0" borderId="53" xfId="0" applyNumberFormat="1" applyFont="1" applyBorder="1" applyAlignment="1">
      <alignment horizontal="left"/>
    </xf>
    <xf numFmtId="1" fontId="7" fillId="0" borderId="52" xfId="0" applyNumberFormat="1" applyFont="1" applyBorder="1" applyAlignment="1">
      <alignment horizontal="left"/>
    </xf>
    <xf numFmtId="1" fontId="8" fillId="0" borderId="51" xfId="0" applyNumberFormat="1" applyFont="1" applyBorder="1" applyAlignment="1">
      <alignment horizontal="left"/>
    </xf>
    <xf numFmtId="1" fontId="6" fillId="0" borderId="50" xfId="0" applyNumberFormat="1" applyFont="1" applyBorder="1" applyAlignment="1">
      <alignment horizontal="left" vertical="center"/>
    </xf>
    <xf numFmtId="0" fontId="10" fillId="0" borderId="56" xfId="0" applyFont="1" applyBorder="1" applyAlignment="1">
      <alignment horizontal="left" vertical="justify" wrapText="1"/>
    </xf>
    <xf numFmtId="0" fontId="11" fillId="0" borderId="7" xfId="0" applyFont="1" applyFill="1" applyBorder="1" applyAlignment="1">
      <alignment horizontal="left" vertical="justify" wrapText="1"/>
    </xf>
    <xf numFmtId="0" fontId="11" fillId="0" borderId="9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0" fontId="10" fillId="0" borderId="0" xfId="0" applyFont="1" applyAlignment="1">
      <alignment horizontal="left" vertical="justify" wrapText="1"/>
    </xf>
    <xf numFmtId="1" fontId="13" fillId="0" borderId="44" xfId="0" applyNumberFormat="1" applyFont="1" applyBorder="1" applyAlignment="1">
      <alignment horizontal="left"/>
    </xf>
    <xf numFmtId="1" fontId="10" fillId="0" borderId="36" xfId="2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 wrapText="1"/>
    </xf>
    <xf numFmtId="1" fontId="13" fillId="0" borderId="0" xfId="0" applyNumberFormat="1" applyFont="1" applyBorder="1" applyAlignment="1">
      <alignment horizontal="left"/>
    </xf>
    <xf numFmtId="1" fontId="13" fillId="0" borderId="35" xfId="0" applyNumberFormat="1" applyFont="1" applyBorder="1" applyAlignment="1">
      <alignment horizontal="left"/>
    </xf>
    <xf numFmtId="1" fontId="9" fillId="0" borderId="35" xfId="0" applyNumberFormat="1" applyFont="1" applyBorder="1" applyAlignment="1">
      <alignment horizontal="left"/>
    </xf>
    <xf numFmtId="1" fontId="10" fillId="0" borderId="13" xfId="0" applyNumberFormat="1" applyFont="1" applyBorder="1" applyAlignment="1">
      <alignment horizontal="left" wrapText="1"/>
    </xf>
    <xf numFmtId="1" fontId="13" fillId="0" borderId="13" xfId="0" applyNumberFormat="1" applyFont="1" applyBorder="1" applyAlignment="1">
      <alignment horizontal="left"/>
    </xf>
    <xf numFmtId="1" fontId="13" fillId="0" borderId="15" xfId="0" applyNumberFormat="1" applyFont="1" applyBorder="1" applyAlignment="1">
      <alignment horizontal="left"/>
    </xf>
    <xf numFmtId="1" fontId="18" fillId="0" borderId="15" xfId="0" applyNumberFormat="1" applyFont="1" applyBorder="1" applyAlignment="1">
      <alignment horizontal="left"/>
    </xf>
    <xf numFmtId="1" fontId="10" fillId="0" borderId="51" xfId="0" applyNumberFormat="1" applyFont="1" applyBorder="1" applyAlignment="1">
      <alignment horizontal="left" vertical="center"/>
    </xf>
    <xf numFmtId="1" fontId="10" fillId="0" borderId="52" xfId="0" applyNumberFormat="1" applyFont="1" applyBorder="1" applyAlignment="1">
      <alignment horizontal="left" vertical="center"/>
    </xf>
    <xf numFmtId="1" fontId="10" fillId="0" borderId="53" xfId="0" applyNumberFormat="1" applyFont="1" applyBorder="1" applyAlignment="1">
      <alignment horizontal="left"/>
    </xf>
    <xf numFmtId="1" fontId="10" fillId="0" borderId="52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1" fontId="10" fillId="0" borderId="53" xfId="2" applyNumberFormat="1" applyFont="1" applyBorder="1" applyAlignment="1">
      <alignment horizontal="left"/>
    </xf>
    <xf numFmtId="1" fontId="10" fillId="0" borderId="52" xfId="2" applyNumberFormat="1" applyFont="1" applyBorder="1" applyAlignment="1">
      <alignment horizontal="left"/>
    </xf>
    <xf numFmtId="1" fontId="10" fillId="0" borderId="53" xfId="0" applyNumberFormat="1" applyFont="1" applyBorder="1" applyAlignment="1">
      <alignment horizontal="left" wrapText="1"/>
    </xf>
    <xf numFmtId="1" fontId="13" fillId="0" borderId="52" xfId="0" applyNumberFormat="1" applyFont="1" applyBorder="1" applyAlignment="1">
      <alignment horizontal="left"/>
    </xf>
    <xf numFmtId="1" fontId="10" fillId="0" borderId="53" xfId="0" applyNumberFormat="1" applyFont="1" applyFill="1" applyBorder="1" applyAlignment="1">
      <alignment horizontal="left"/>
    </xf>
    <xf numFmtId="1" fontId="10" fillId="0" borderId="52" xfId="0" applyNumberFormat="1" applyFont="1" applyFill="1" applyBorder="1" applyAlignment="1">
      <alignment horizontal="left"/>
    </xf>
    <xf numFmtId="1" fontId="10" fillId="0" borderId="53" xfId="1" applyNumberFormat="1" applyFont="1" applyBorder="1" applyAlignment="1">
      <alignment horizontal="left"/>
    </xf>
    <xf numFmtId="1" fontId="10" fillId="0" borderId="52" xfId="1" applyNumberFormat="1" applyFont="1" applyBorder="1" applyAlignment="1">
      <alignment horizontal="left"/>
    </xf>
    <xf numFmtId="1" fontId="9" fillId="0" borderId="53" xfId="0" applyNumberFormat="1" applyFont="1" applyBorder="1" applyAlignment="1">
      <alignment horizontal="left"/>
    </xf>
    <xf numFmtId="1" fontId="9" fillId="0" borderId="52" xfId="0" applyNumberFormat="1" applyFont="1" applyBorder="1" applyAlignment="1">
      <alignment horizontal="left"/>
    </xf>
    <xf numFmtId="2" fontId="11" fillId="0" borderId="56" xfId="0" applyNumberFormat="1" applyFont="1" applyBorder="1" applyAlignment="1">
      <alignment horizontal="left"/>
    </xf>
    <xf numFmtId="2" fontId="11" fillId="0" borderId="57" xfId="0" applyNumberFormat="1" applyFont="1" applyBorder="1" applyAlignment="1">
      <alignment horizontal="left" vertical="center"/>
    </xf>
    <xf numFmtId="2" fontId="11" fillId="0" borderId="72" xfId="0" applyNumberFormat="1" applyFont="1" applyBorder="1" applyAlignment="1">
      <alignment horizontal="left" vertical="center"/>
    </xf>
    <xf numFmtId="2" fontId="11" fillId="0" borderId="58" xfId="0" applyNumberFormat="1" applyFont="1" applyBorder="1" applyAlignment="1">
      <alignment horizontal="left"/>
    </xf>
    <xf numFmtId="2" fontId="11" fillId="0" borderId="72" xfId="0" applyNumberFormat="1" applyFont="1" applyBorder="1" applyAlignment="1">
      <alignment horizontal="left"/>
    </xf>
    <xf numFmtId="2" fontId="11" fillId="0" borderId="59" xfId="0" applyNumberFormat="1" applyFont="1" applyBorder="1" applyAlignment="1">
      <alignment horizontal="left"/>
    </xf>
    <xf numFmtId="2" fontId="11" fillId="0" borderId="58" xfId="2" applyNumberFormat="1" applyFont="1" applyBorder="1" applyAlignment="1">
      <alignment horizontal="left"/>
    </xf>
    <xf numFmtId="2" fontId="11" fillId="0" borderId="72" xfId="2" applyNumberFormat="1" applyFont="1" applyBorder="1" applyAlignment="1">
      <alignment horizontal="left"/>
    </xf>
    <xf numFmtId="2" fontId="11" fillId="0" borderId="58" xfId="0" applyNumberFormat="1" applyFont="1" applyBorder="1" applyAlignment="1">
      <alignment horizontal="left" wrapText="1"/>
    </xf>
    <xf numFmtId="2" fontId="11" fillId="0" borderId="58" xfId="0" applyNumberFormat="1" applyFont="1" applyFill="1" applyBorder="1" applyAlignment="1">
      <alignment horizontal="left"/>
    </xf>
    <xf numFmtId="2" fontId="11" fillId="0" borderId="72" xfId="0" applyNumberFormat="1" applyFont="1" applyFill="1" applyBorder="1" applyAlignment="1">
      <alignment horizontal="left"/>
    </xf>
    <xf numFmtId="2" fontId="11" fillId="0" borderId="58" xfId="1" applyNumberFormat="1" applyFont="1" applyBorder="1" applyAlignment="1">
      <alignment horizontal="left"/>
    </xf>
    <xf numFmtId="2" fontId="11" fillId="0" borderId="72" xfId="1" applyNumberFormat="1" applyFont="1" applyBorder="1" applyAlignment="1">
      <alignment horizontal="left"/>
    </xf>
    <xf numFmtId="2" fontId="15" fillId="0" borderId="0" xfId="0" applyNumberFormat="1" applyFont="1" applyAlignment="1">
      <alignment horizontal="left"/>
    </xf>
    <xf numFmtId="1" fontId="3" fillId="0" borderId="0" xfId="0" applyNumberFormat="1" applyFont="1"/>
    <xf numFmtId="1" fontId="26" fillId="0" borderId="7" xfId="0" applyNumberFormat="1" applyFont="1" applyBorder="1" applyAlignment="1">
      <alignment horizontal="left"/>
    </xf>
    <xf numFmtId="1" fontId="26" fillId="0" borderId="8" xfId="0" applyNumberFormat="1" applyFont="1" applyBorder="1" applyAlignment="1">
      <alignment horizontal="left"/>
    </xf>
    <xf numFmtId="1" fontId="26" fillId="0" borderId="9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1" fontId="8" fillId="0" borderId="34" xfId="0" applyNumberFormat="1" applyFont="1" applyBorder="1" applyAlignment="1">
      <alignment vertical="center"/>
    </xf>
    <xf numFmtId="1" fontId="8" fillId="0" borderId="28" xfId="0" applyNumberFormat="1" applyFont="1" applyBorder="1" applyAlignment="1">
      <alignment vertical="center"/>
    </xf>
    <xf numFmtId="1" fontId="8" fillId="0" borderId="35" xfId="0" applyNumberFormat="1" applyFont="1" applyBorder="1" applyAlignment="1">
      <alignment vertical="center"/>
    </xf>
    <xf numFmtId="1" fontId="8" fillId="0" borderId="34" xfId="0" applyNumberFormat="1" applyFont="1" applyBorder="1" applyAlignment="1">
      <alignment horizontal="right"/>
    </xf>
    <xf numFmtId="1" fontId="8" fillId="0" borderId="28" xfId="0" applyNumberFormat="1" applyFont="1" applyBorder="1" applyAlignment="1">
      <alignment horizontal="right"/>
    </xf>
    <xf numFmtId="1" fontId="8" fillId="0" borderId="35" xfId="0" applyNumberFormat="1" applyFont="1" applyBorder="1" applyAlignment="1">
      <alignment horizontal="right"/>
    </xf>
    <xf numFmtId="1" fontId="8" fillId="0" borderId="36" xfId="0" applyNumberFormat="1" applyFont="1" applyBorder="1" applyAlignment="1">
      <alignment horizontal="right"/>
    </xf>
    <xf numFmtId="1" fontId="8" fillId="0" borderId="34" xfId="2" applyNumberFormat="1" applyFont="1" applyBorder="1" applyAlignment="1">
      <alignment horizontal="right"/>
    </xf>
    <xf numFmtId="1" fontId="8" fillId="0" borderId="28" xfId="2" applyNumberFormat="1" applyFont="1" applyBorder="1" applyAlignment="1">
      <alignment horizontal="right"/>
    </xf>
    <xf numFmtId="1" fontId="8" fillId="0" borderId="35" xfId="2" applyNumberFormat="1" applyFont="1" applyBorder="1" applyAlignment="1">
      <alignment horizontal="right"/>
    </xf>
    <xf numFmtId="1" fontId="8" fillId="0" borderId="34" xfId="0" applyNumberFormat="1" applyFont="1" applyBorder="1" applyAlignment="1">
      <alignment horizontal="right" wrapText="1"/>
    </xf>
    <xf numFmtId="1" fontId="8" fillId="0" borderId="28" xfId="0" applyNumberFormat="1" applyFont="1" applyBorder="1"/>
    <xf numFmtId="1" fontId="8" fillId="0" borderId="35" xfId="0" applyNumberFormat="1" applyFont="1" applyBorder="1"/>
    <xf numFmtId="1" fontId="13" fillId="0" borderId="34" xfId="0" applyNumberFormat="1" applyFont="1" applyBorder="1" applyAlignment="1">
      <alignment horizontal="left"/>
    </xf>
    <xf numFmtId="1" fontId="13" fillId="0" borderId="28" xfId="0" applyNumberFormat="1" applyFont="1" applyBorder="1" applyAlignment="1">
      <alignment horizontal="left"/>
    </xf>
    <xf numFmtId="1" fontId="8" fillId="0" borderId="34" xfId="0" applyNumberFormat="1" applyFont="1" applyFill="1" applyBorder="1" applyAlignment="1">
      <alignment horizontal="right"/>
    </xf>
    <xf numFmtId="1" fontId="8" fillId="0" borderId="28" xfId="0" applyNumberFormat="1" applyFont="1" applyFill="1" applyBorder="1" applyAlignment="1">
      <alignment horizontal="right"/>
    </xf>
    <xf numFmtId="1" fontId="8" fillId="0" borderId="35" xfId="0" applyNumberFormat="1" applyFont="1" applyFill="1" applyBorder="1" applyAlignment="1">
      <alignment horizontal="right"/>
    </xf>
    <xf numFmtId="1" fontId="8" fillId="0" borderId="34" xfId="1" applyNumberFormat="1" applyFont="1" applyBorder="1" applyAlignment="1">
      <alignment horizontal="right"/>
    </xf>
    <xf numFmtId="1" fontId="8" fillId="0" borderId="28" xfId="1" applyNumberFormat="1" applyFont="1" applyBorder="1" applyAlignment="1">
      <alignment horizontal="right"/>
    </xf>
    <xf numFmtId="1" fontId="8" fillId="0" borderId="65" xfId="1" applyNumberFormat="1" applyFont="1" applyBorder="1" applyAlignment="1">
      <alignment horizontal="right"/>
    </xf>
    <xf numFmtId="1" fontId="8" fillId="0" borderId="65" xfId="0" applyNumberFormat="1" applyFont="1" applyBorder="1" applyAlignment="1">
      <alignment horizontal="right"/>
    </xf>
    <xf numFmtId="1" fontId="6" fillId="0" borderId="34" xfId="0" applyNumberFormat="1" applyFont="1" applyBorder="1" applyAlignment="1">
      <alignment horizontal="right"/>
    </xf>
    <xf numFmtId="1" fontId="6" fillId="0" borderId="28" xfId="0" applyNumberFormat="1" applyFont="1" applyBorder="1" applyAlignment="1">
      <alignment horizontal="right"/>
    </xf>
    <xf numFmtId="1" fontId="6" fillId="0" borderId="65" xfId="0" applyNumberFormat="1" applyFont="1" applyBorder="1" applyAlignment="1">
      <alignment horizontal="right"/>
    </xf>
    <xf numFmtId="1" fontId="3" fillId="0" borderId="28" xfId="0" applyNumberFormat="1" applyFont="1" applyBorder="1"/>
    <xf numFmtId="1" fontId="3" fillId="0" borderId="35" xfId="0" applyNumberFormat="1" applyFont="1" applyBorder="1"/>
    <xf numFmtId="1" fontId="8" fillId="0" borderId="16" xfId="0" applyNumberFormat="1" applyFont="1" applyBorder="1" applyAlignment="1">
      <alignment vertical="center"/>
    </xf>
    <xf numFmtId="1" fontId="8" fillId="0" borderId="14" xfId="0" applyNumberFormat="1" applyFont="1" applyBorder="1" applyAlignment="1">
      <alignment vertical="center"/>
    </xf>
    <xf numFmtId="1" fontId="8" fillId="0" borderId="15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horizontal="right"/>
    </xf>
    <xf numFmtId="1" fontId="8" fillId="0" borderId="14" xfId="0" applyNumberFormat="1" applyFont="1" applyBorder="1" applyAlignment="1">
      <alignment horizontal="right"/>
    </xf>
    <xf numFmtId="1" fontId="8" fillId="0" borderId="15" xfId="0" applyNumberFormat="1" applyFont="1" applyBorder="1" applyAlignment="1">
      <alignment horizontal="right"/>
    </xf>
    <xf numFmtId="1" fontId="8" fillId="0" borderId="13" xfId="0" applyNumberFormat="1" applyFont="1" applyBorder="1" applyAlignment="1">
      <alignment horizontal="right"/>
    </xf>
    <xf numFmtId="1" fontId="8" fillId="0" borderId="16" xfId="2" applyNumberFormat="1" applyFont="1" applyBorder="1" applyAlignment="1">
      <alignment horizontal="right"/>
    </xf>
    <xf numFmtId="1" fontId="8" fillId="0" borderId="14" xfId="2" applyNumberFormat="1" applyFont="1" applyBorder="1" applyAlignment="1">
      <alignment horizontal="right"/>
    </xf>
    <xf numFmtId="1" fontId="8" fillId="0" borderId="15" xfId="2" applyNumberFormat="1" applyFont="1" applyBorder="1" applyAlignment="1">
      <alignment horizontal="right"/>
    </xf>
    <xf numFmtId="1" fontId="8" fillId="0" borderId="16" xfId="0" applyNumberFormat="1" applyFont="1" applyBorder="1" applyAlignment="1">
      <alignment horizontal="right" wrapText="1"/>
    </xf>
    <xf numFmtId="1" fontId="8" fillId="0" borderId="14" xfId="0" applyNumberFormat="1" applyFont="1" applyBorder="1"/>
    <xf numFmtId="1" fontId="8" fillId="0" borderId="15" xfId="0" applyNumberFormat="1" applyFont="1" applyBorder="1"/>
    <xf numFmtId="1" fontId="13" fillId="0" borderId="16" xfId="0" applyNumberFormat="1" applyFont="1" applyBorder="1" applyAlignment="1">
      <alignment horizontal="left"/>
    </xf>
    <xf numFmtId="1" fontId="13" fillId="0" borderId="14" xfId="0" applyNumberFormat="1" applyFont="1" applyBorder="1" applyAlignment="1">
      <alignment horizontal="left"/>
    </xf>
    <xf numFmtId="1" fontId="8" fillId="0" borderId="16" xfId="0" applyNumberFormat="1" applyFont="1" applyFill="1" applyBorder="1" applyAlignment="1">
      <alignment horizontal="right"/>
    </xf>
    <xf numFmtId="1" fontId="8" fillId="0" borderId="14" xfId="0" applyNumberFormat="1" applyFont="1" applyFill="1" applyBorder="1" applyAlignment="1">
      <alignment horizontal="right"/>
    </xf>
    <xf numFmtId="1" fontId="8" fillId="0" borderId="15" xfId="0" applyNumberFormat="1" applyFont="1" applyFill="1" applyBorder="1" applyAlignment="1">
      <alignment horizontal="right"/>
    </xf>
    <xf numFmtId="1" fontId="8" fillId="0" borderId="16" xfId="1" applyNumberFormat="1" applyFont="1" applyBorder="1" applyAlignment="1">
      <alignment horizontal="right"/>
    </xf>
    <xf numFmtId="1" fontId="8" fillId="0" borderId="14" xfId="1" applyNumberFormat="1" applyFont="1" applyBorder="1" applyAlignment="1">
      <alignment horizontal="right"/>
    </xf>
    <xf numFmtId="1" fontId="8" fillId="0" borderId="2" xfId="1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1" fontId="6" fillId="0" borderId="16" xfId="0" applyNumberFormat="1" applyFont="1" applyBorder="1" applyAlignment="1">
      <alignment horizontal="right"/>
    </xf>
    <xf numFmtId="1" fontId="6" fillId="0" borderId="14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15" xfId="0" applyNumberFormat="1" applyFont="1" applyBorder="1"/>
    <xf numFmtId="1" fontId="6" fillId="0" borderId="16" xfId="0" applyNumberFormat="1" applyFont="1" applyBorder="1" applyAlignment="1">
      <alignment vertical="center"/>
    </xf>
    <xf numFmtId="1" fontId="6" fillId="0" borderId="14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horizontal="right"/>
    </xf>
    <xf numFmtId="1" fontId="6" fillId="0" borderId="13" xfId="0" applyNumberFormat="1" applyFont="1" applyBorder="1" applyAlignment="1">
      <alignment horizontal="right"/>
    </xf>
    <xf numFmtId="1" fontId="16" fillId="0" borderId="16" xfId="0" applyNumberFormat="1" applyFont="1" applyBorder="1" applyAlignment="1">
      <alignment horizontal="right"/>
    </xf>
    <xf numFmtId="1" fontId="16" fillId="0" borderId="14" xfId="0" applyNumberFormat="1" applyFont="1" applyBorder="1" applyAlignment="1">
      <alignment horizontal="right"/>
    </xf>
    <xf numFmtId="1" fontId="16" fillId="0" borderId="15" xfId="0" applyNumberFormat="1" applyFont="1" applyBorder="1" applyAlignment="1">
      <alignment horizontal="right"/>
    </xf>
    <xf numFmtId="1" fontId="13" fillId="0" borderId="0" xfId="0" applyNumberFormat="1" applyFont="1" applyAlignment="1">
      <alignment horizontal="left"/>
    </xf>
    <xf numFmtId="1" fontId="8" fillId="0" borderId="21" xfId="0" applyNumberFormat="1" applyFont="1" applyBorder="1" applyAlignment="1">
      <alignment vertical="center"/>
    </xf>
    <xf numFmtId="1" fontId="8" fillId="0" borderId="22" xfId="0" applyNumberFormat="1" applyFont="1" applyBorder="1" applyAlignment="1">
      <alignment vertical="center"/>
    </xf>
    <xf numFmtId="1" fontId="8" fillId="0" borderId="24" xfId="0" applyNumberFormat="1" applyFont="1" applyBorder="1" applyAlignment="1">
      <alignment vertical="center"/>
    </xf>
    <xf numFmtId="1" fontId="8" fillId="0" borderId="21" xfId="0" applyNumberFormat="1" applyFont="1" applyBorder="1" applyAlignment="1">
      <alignment horizontal="right"/>
    </xf>
    <xf numFmtId="1" fontId="8" fillId="0" borderId="22" xfId="0" applyNumberFormat="1" applyFont="1" applyBorder="1" applyAlignment="1">
      <alignment horizontal="right"/>
    </xf>
    <xf numFmtId="1" fontId="8" fillId="0" borderId="24" xfId="0" applyNumberFormat="1" applyFont="1" applyBorder="1" applyAlignment="1">
      <alignment horizontal="right"/>
    </xf>
    <xf numFmtId="1" fontId="8" fillId="0" borderId="25" xfId="0" applyNumberFormat="1" applyFont="1" applyBorder="1" applyAlignment="1">
      <alignment horizontal="right"/>
    </xf>
    <xf numFmtId="1" fontId="8" fillId="0" borderId="21" xfId="2" applyNumberFormat="1" applyFont="1" applyBorder="1" applyAlignment="1">
      <alignment horizontal="right"/>
    </xf>
    <xf numFmtId="1" fontId="8" fillId="0" borderId="22" xfId="2" applyNumberFormat="1" applyFont="1" applyBorder="1" applyAlignment="1">
      <alignment horizontal="right"/>
    </xf>
    <xf numFmtId="1" fontId="8" fillId="0" borderId="24" xfId="2" applyNumberFormat="1" applyFont="1" applyBorder="1" applyAlignment="1">
      <alignment horizontal="right"/>
    </xf>
    <xf numFmtId="1" fontId="8" fillId="0" borderId="21" xfId="0" applyNumberFormat="1" applyFont="1" applyBorder="1" applyAlignment="1">
      <alignment horizontal="right" wrapText="1"/>
    </xf>
    <xf numFmtId="1" fontId="8" fillId="0" borderId="22" xfId="0" applyNumberFormat="1" applyFont="1" applyBorder="1"/>
    <xf numFmtId="1" fontId="8" fillId="0" borderId="24" xfId="0" applyNumberFormat="1" applyFont="1" applyBorder="1"/>
    <xf numFmtId="1" fontId="13" fillId="0" borderId="21" xfId="0" applyNumberFormat="1" applyFont="1" applyBorder="1" applyAlignment="1">
      <alignment horizontal="left"/>
    </xf>
    <xf numFmtId="1" fontId="13" fillId="0" borderId="22" xfId="0" applyNumberFormat="1" applyFont="1" applyBorder="1" applyAlignment="1">
      <alignment horizontal="left"/>
    </xf>
    <xf numFmtId="1" fontId="13" fillId="0" borderId="24" xfId="0" applyNumberFormat="1" applyFont="1" applyBorder="1" applyAlignment="1">
      <alignment horizontal="left"/>
    </xf>
    <xf numFmtId="1" fontId="8" fillId="0" borderId="21" xfId="0" applyNumberFormat="1" applyFont="1" applyFill="1" applyBorder="1" applyAlignment="1">
      <alignment horizontal="right"/>
    </xf>
    <xf numFmtId="1" fontId="8" fillId="0" borderId="22" xfId="0" applyNumberFormat="1" applyFont="1" applyFill="1" applyBorder="1" applyAlignment="1">
      <alignment horizontal="right"/>
    </xf>
    <xf numFmtId="1" fontId="8" fillId="0" borderId="24" xfId="0" applyNumberFormat="1" applyFont="1" applyFill="1" applyBorder="1" applyAlignment="1">
      <alignment horizontal="right"/>
    </xf>
    <xf numFmtId="1" fontId="8" fillId="0" borderId="21" xfId="1" applyNumberFormat="1" applyFont="1" applyBorder="1" applyAlignment="1">
      <alignment horizontal="right"/>
    </xf>
    <xf numFmtId="1" fontId="8" fillId="0" borderId="22" xfId="1" applyNumberFormat="1" applyFont="1" applyBorder="1" applyAlignment="1">
      <alignment horizontal="right"/>
    </xf>
    <xf numFmtId="1" fontId="8" fillId="0" borderId="23" xfId="1" applyNumberFormat="1" applyFont="1" applyBorder="1" applyAlignment="1">
      <alignment horizontal="right"/>
    </xf>
    <xf numFmtId="1" fontId="8" fillId="0" borderId="23" xfId="0" applyNumberFormat="1" applyFont="1" applyBorder="1" applyAlignment="1">
      <alignment horizontal="right"/>
    </xf>
    <xf numFmtId="1" fontId="6" fillId="0" borderId="21" xfId="0" applyNumberFormat="1" applyFont="1" applyBorder="1" applyAlignment="1">
      <alignment horizontal="right"/>
    </xf>
    <xf numFmtId="1" fontId="6" fillId="0" borderId="22" xfId="0" applyNumberFormat="1" applyFont="1" applyBorder="1" applyAlignment="1">
      <alignment horizontal="right"/>
    </xf>
    <xf numFmtId="1" fontId="6" fillId="0" borderId="23" xfId="0" applyNumberFormat="1" applyFont="1" applyBorder="1" applyAlignment="1">
      <alignment horizontal="right"/>
    </xf>
    <xf numFmtId="1" fontId="3" fillId="0" borderId="22" xfId="0" applyNumberFormat="1" applyFont="1" applyBorder="1"/>
    <xf numFmtId="1" fontId="3" fillId="0" borderId="24" xfId="0" applyNumberFormat="1" applyFont="1" applyBorder="1"/>
    <xf numFmtId="1" fontId="9" fillId="0" borderId="3" xfId="0" applyNumberFormat="1" applyFont="1" applyBorder="1" applyAlignment="1">
      <alignment horizontal="left" vertical="center"/>
    </xf>
    <xf numFmtId="1" fontId="10" fillId="0" borderId="2" xfId="0" applyNumberFormat="1" applyFont="1" applyBorder="1" applyAlignment="1">
      <alignment horizontal="left" vertical="center"/>
    </xf>
    <xf numFmtId="1" fontId="10" fillId="0" borderId="3" xfId="0" applyNumberFormat="1" applyFont="1" applyBorder="1" applyAlignment="1">
      <alignment horizontal="left" vertical="center"/>
    </xf>
    <xf numFmtId="1" fontId="10" fillId="0" borderId="2" xfId="2" applyNumberFormat="1" applyFont="1" applyBorder="1" applyAlignment="1">
      <alignment horizontal="left"/>
    </xf>
    <xf numFmtId="1" fontId="10" fillId="0" borderId="16" xfId="0" applyNumberFormat="1" applyFont="1" applyBorder="1" applyAlignment="1">
      <alignment horizontal="left" wrapText="1"/>
    </xf>
    <xf numFmtId="1" fontId="10" fillId="0" borderId="16" xfId="1" applyNumberFormat="1" applyFont="1" applyBorder="1" applyAlignment="1">
      <alignment horizontal="left"/>
    </xf>
    <xf numFmtId="1" fontId="10" fillId="0" borderId="2" xfId="1" applyNumberFormat="1" applyFont="1" applyBorder="1" applyAlignment="1">
      <alignment horizontal="left"/>
    </xf>
    <xf numFmtId="1" fontId="14" fillId="0" borderId="16" xfId="0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" fontId="15" fillId="0" borderId="14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left" vertical="center"/>
    </xf>
    <xf numFmtId="1" fontId="27" fillId="0" borderId="14" xfId="2" applyNumberFormat="1" applyFont="1" applyBorder="1" applyAlignment="1">
      <alignment horizontal="left"/>
    </xf>
    <xf numFmtId="1" fontId="27" fillId="0" borderId="2" xfId="2" applyNumberFormat="1" applyFont="1" applyBorder="1" applyAlignment="1">
      <alignment horizontal="left"/>
    </xf>
    <xf numFmtId="1" fontId="27" fillId="0" borderId="14" xfId="0" applyNumberFormat="1" applyFont="1" applyBorder="1" applyAlignment="1">
      <alignment horizontal="left"/>
    </xf>
    <xf numFmtId="1" fontId="27" fillId="0" borderId="14" xfId="0" applyNumberFormat="1" applyFont="1" applyFill="1" applyBorder="1" applyAlignment="1">
      <alignment horizontal="left"/>
    </xf>
    <xf numFmtId="1" fontId="27" fillId="0" borderId="14" xfId="1" applyNumberFormat="1" applyFont="1" applyBorder="1" applyAlignment="1">
      <alignment horizontal="left"/>
    </xf>
    <xf numFmtId="1" fontId="11" fillId="0" borderId="14" xfId="0" applyNumberFormat="1" applyFont="1" applyFill="1" applyBorder="1" applyAlignment="1">
      <alignment horizontal="left" vertical="center"/>
    </xf>
    <xf numFmtId="1" fontId="11" fillId="0" borderId="0" xfId="0" applyNumberFormat="1" applyFont="1" applyFill="1" applyAlignment="1">
      <alignment horizontal="left"/>
    </xf>
    <xf numFmtId="2" fontId="10" fillId="0" borderId="2" xfId="0" applyNumberFormat="1" applyFont="1" applyBorder="1" applyAlignment="1">
      <alignment horizontal="left"/>
    </xf>
    <xf numFmtId="2" fontId="10" fillId="0" borderId="16" xfId="2" applyNumberFormat="1" applyFont="1" applyBorder="1" applyAlignment="1">
      <alignment horizontal="left"/>
    </xf>
    <xf numFmtId="2" fontId="10" fillId="0" borderId="2" xfId="2" applyNumberFormat="1" applyFont="1" applyBorder="1" applyAlignment="1">
      <alignment horizontal="left"/>
    </xf>
    <xf numFmtId="2" fontId="10" fillId="0" borderId="16" xfId="0" applyNumberFormat="1" applyFont="1" applyBorder="1" applyAlignment="1">
      <alignment horizontal="left" wrapText="1"/>
    </xf>
    <xf numFmtId="2" fontId="10" fillId="0" borderId="14" xfId="0" applyNumberFormat="1" applyFont="1" applyFill="1" applyBorder="1" applyAlignment="1">
      <alignment horizontal="left"/>
    </xf>
    <xf numFmtId="2" fontId="10" fillId="0" borderId="14" xfId="1" applyNumberFormat="1" applyFont="1" applyBorder="1" applyAlignment="1">
      <alignment horizontal="left"/>
    </xf>
    <xf numFmtId="2" fontId="10" fillId="0" borderId="3" xfId="0" applyNumberFormat="1" applyFont="1" applyBorder="1" applyAlignment="1">
      <alignment horizontal="left" vertical="center"/>
    </xf>
    <xf numFmtId="165" fontId="10" fillId="0" borderId="16" xfId="2" applyNumberFormat="1" applyFont="1" applyBorder="1" applyAlignment="1">
      <alignment horizontal="left"/>
    </xf>
    <xf numFmtId="165" fontId="10" fillId="0" borderId="14" xfId="2" applyNumberFormat="1" applyFont="1" applyBorder="1" applyAlignment="1">
      <alignment horizontal="left"/>
    </xf>
    <xf numFmtId="165" fontId="10" fillId="0" borderId="2" xfId="2" applyNumberFormat="1" applyFont="1" applyBorder="1" applyAlignment="1">
      <alignment horizontal="left"/>
    </xf>
    <xf numFmtId="1" fontId="10" fillId="0" borderId="0" xfId="0" applyNumberFormat="1" applyFont="1" applyFill="1" applyAlignment="1">
      <alignment horizontal="left"/>
    </xf>
    <xf numFmtId="1" fontId="10" fillId="0" borderId="0" xfId="0" applyNumberFormat="1" applyFont="1"/>
    <xf numFmtId="0" fontId="10" fillId="0" borderId="0" xfId="0" applyFont="1"/>
    <xf numFmtId="1" fontId="9" fillId="0" borderId="14" xfId="0" applyNumberFormat="1" applyFont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vertical="center"/>
    </xf>
    <xf numFmtId="1" fontId="10" fillId="0" borderId="13" xfId="0" applyNumberFormat="1" applyFont="1" applyBorder="1" applyAlignment="1">
      <alignment horizontal="right"/>
    </xf>
    <xf numFmtId="1" fontId="10" fillId="0" borderId="15" xfId="0" applyNumberFormat="1" applyFont="1" applyBorder="1" applyAlignment="1">
      <alignment horizontal="right"/>
    </xf>
    <xf numFmtId="1" fontId="10" fillId="0" borderId="13" xfId="0" applyNumberFormat="1" applyFont="1" applyBorder="1" applyAlignment="1">
      <alignment horizontal="right" wrapText="1"/>
    </xf>
    <xf numFmtId="1" fontId="10" fillId="0" borderId="15" xfId="0" applyNumberFormat="1" applyFont="1" applyBorder="1"/>
    <xf numFmtId="1" fontId="10" fillId="0" borderId="13" xfId="0" applyNumberFormat="1" applyFont="1" applyFill="1" applyBorder="1" applyAlignment="1">
      <alignment horizontal="right"/>
    </xf>
    <xf numFmtId="1" fontId="10" fillId="0" borderId="15" xfId="0" applyNumberFormat="1" applyFont="1" applyFill="1" applyBorder="1" applyAlignment="1">
      <alignment horizontal="right"/>
    </xf>
    <xf numFmtId="1" fontId="10" fillId="0" borderId="13" xfId="1" applyNumberFormat="1" applyFont="1" applyBorder="1" applyAlignment="1">
      <alignment horizontal="right"/>
    </xf>
    <xf numFmtId="1" fontId="10" fillId="0" borderId="15" xfId="1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1" fontId="9" fillId="0" borderId="13" xfId="0" applyNumberFormat="1" applyFont="1" applyBorder="1" applyAlignment="1">
      <alignment horizontal="right"/>
    </xf>
    <xf numFmtId="1" fontId="9" fillId="0" borderId="15" xfId="0" applyNumberFormat="1" applyFont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1" fontId="18" fillId="0" borderId="13" xfId="0" applyNumberFormat="1" applyFont="1" applyBorder="1" applyAlignment="1">
      <alignment horizontal="left"/>
    </xf>
    <xf numFmtId="1" fontId="14" fillId="0" borderId="15" xfId="0" applyNumberFormat="1" applyFont="1" applyBorder="1" applyAlignment="1">
      <alignment horizontal="right"/>
    </xf>
    <xf numFmtId="1" fontId="15" fillId="0" borderId="13" xfId="2" applyNumberFormat="1" applyFont="1" applyBorder="1" applyAlignment="1">
      <alignment horizontal="left"/>
    </xf>
    <xf numFmtId="1" fontId="27" fillId="0" borderId="15" xfId="2" applyNumberFormat="1" applyFont="1" applyBorder="1" applyAlignment="1">
      <alignment horizontal="left"/>
    </xf>
    <xf numFmtId="1" fontId="27" fillId="0" borderId="15" xfId="0" applyNumberFormat="1" applyFont="1" applyBorder="1"/>
    <xf numFmtId="1" fontId="27" fillId="0" borderId="15" xfId="0" applyNumberFormat="1" applyFont="1" applyFill="1" applyBorder="1" applyAlignment="1">
      <alignment horizontal="right"/>
    </xf>
    <xf numFmtId="1" fontId="27" fillId="0" borderId="15" xfId="1" applyNumberFormat="1" applyFont="1" applyBorder="1" applyAlignment="1">
      <alignment horizontal="right"/>
    </xf>
    <xf numFmtId="1" fontId="27" fillId="0" borderId="15" xfId="0" applyNumberFormat="1" applyFont="1" applyBorder="1" applyAlignment="1">
      <alignment horizontal="right"/>
    </xf>
    <xf numFmtId="1" fontId="9" fillId="0" borderId="13" xfId="2" applyNumberFormat="1" applyFont="1" applyBorder="1" applyAlignment="1">
      <alignment horizontal="left"/>
    </xf>
    <xf numFmtId="1" fontId="9" fillId="0" borderId="15" xfId="2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right" wrapText="1"/>
    </xf>
    <xf numFmtId="1" fontId="9" fillId="0" borderId="15" xfId="0" applyNumberFormat="1" applyFont="1" applyBorder="1"/>
    <xf numFmtId="1" fontId="9" fillId="0" borderId="13" xfId="0" applyNumberFormat="1" applyFont="1" applyFill="1" applyBorder="1" applyAlignment="1">
      <alignment horizontal="right"/>
    </xf>
    <xf numFmtId="1" fontId="9" fillId="0" borderId="13" xfId="1" applyNumberFormat="1" applyFont="1" applyBorder="1" applyAlignment="1">
      <alignment horizontal="right"/>
    </xf>
    <xf numFmtId="1" fontId="9" fillId="0" borderId="0" xfId="0" applyNumberFormat="1" applyFont="1"/>
    <xf numFmtId="1" fontId="9" fillId="0" borderId="15" xfId="0" applyNumberFormat="1" applyFont="1" applyFill="1" applyBorder="1" applyAlignment="1">
      <alignment horizontal="right"/>
    </xf>
    <xf numFmtId="1" fontId="9" fillId="0" borderId="15" xfId="1" applyNumberFormat="1" applyFont="1" applyBorder="1" applyAlignment="1">
      <alignment horizontal="right"/>
    </xf>
    <xf numFmtId="1" fontId="9" fillId="0" borderId="25" xfId="0" applyNumberFormat="1" applyFont="1" applyBorder="1" applyAlignment="1">
      <alignment horizontal="right"/>
    </xf>
    <xf numFmtId="1" fontId="9" fillId="0" borderId="24" xfId="0" applyNumberFormat="1" applyFont="1" applyBorder="1" applyAlignment="1">
      <alignment horizontal="right"/>
    </xf>
    <xf numFmtId="1" fontId="11" fillId="0" borderId="25" xfId="1" applyNumberFormat="1" applyFont="1" applyBorder="1" applyAlignment="1">
      <alignment horizontal="left"/>
    </xf>
    <xf numFmtId="1" fontId="9" fillId="0" borderId="24" xfId="1" applyNumberFormat="1" applyFont="1" applyBorder="1" applyAlignment="1">
      <alignment horizontal="left"/>
    </xf>
    <xf numFmtId="1" fontId="9" fillId="0" borderId="25" xfId="0" applyNumberFormat="1" applyFont="1" applyBorder="1" applyAlignment="1">
      <alignment horizontal="right" wrapText="1"/>
    </xf>
    <xf numFmtId="1" fontId="9" fillId="0" borderId="24" xfId="0" applyNumberFormat="1" applyFont="1" applyBorder="1"/>
    <xf numFmtId="1" fontId="9" fillId="0" borderId="25" xfId="0" applyNumberFormat="1" applyFont="1" applyFill="1" applyBorder="1" applyAlignment="1">
      <alignment horizontal="right"/>
    </xf>
    <xf numFmtId="1" fontId="9" fillId="0" borderId="24" xfId="0" applyNumberFormat="1" applyFont="1" applyFill="1" applyBorder="1" applyAlignment="1">
      <alignment horizontal="right"/>
    </xf>
    <xf numFmtId="1" fontId="9" fillId="0" borderId="25" xfId="1" applyNumberFormat="1" applyFont="1" applyBorder="1" applyAlignment="1">
      <alignment horizontal="right"/>
    </xf>
    <xf numFmtId="1" fontId="9" fillId="0" borderId="24" xfId="1" applyNumberFormat="1" applyFont="1" applyBorder="1" applyAlignment="1">
      <alignment horizontal="right"/>
    </xf>
    <xf numFmtId="1" fontId="10" fillId="0" borderId="28" xfId="0" applyNumberFormat="1" applyFont="1" applyBorder="1" applyAlignment="1">
      <alignment horizontal="right"/>
    </xf>
    <xf numFmtId="1" fontId="10" fillId="0" borderId="28" xfId="0" applyNumberFormat="1" applyFont="1" applyBorder="1" applyAlignment="1">
      <alignment horizontal="right" wrapText="1"/>
    </xf>
    <xf numFmtId="1" fontId="10" fillId="0" borderId="28" xfId="0" applyNumberFormat="1" applyFont="1" applyBorder="1"/>
    <xf numFmtId="1" fontId="28" fillId="0" borderId="28" xfId="0" applyNumberFormat="1" applyFont="1" applyBorder="1" applyAlignment="1">
      <alignment horizontal="left"/>
    </xf>
    <xf numFmtId="1" fontId="10" fillId="0" borderId="28" xfId="0" applyNumberFormat="1" applyFont="1" applyFill="1" applyBorder="1" applyAlignment="1">
      <alignment horizontal="right"/>
    </xf>
    <xf numFmtId="1" fontId="10" fillId="0" borderId="28" xfId="1" applyNumberFormat="1" applyFont="1" applyBorder="1" applyAlignment="1">
      <alignment horizontal="right"/>
    </xf>
    <xf numFmtId="1" fontId="9" fillId="0" borderId="28" xfId="0" applyNumberFormat="1" applyFont="1" applyBorder="1" applyAlignment="1">
      <alignment horizontal="right"/>
    </xf>
    <xf numFmtId="1" fontId="10" fillId="0" borderId="14" xfId="0" applyNumberFormat="1" applyFont="1" applyBorder="1"/>
    <xf numFmtId="1" fontId="9" fillId="0" borderId="14" xfId="0" applyNumberFormat="1" applyFont="1" applyBorder="1" applyAlignment="1">
      <alignment horizontal="right"/>
    </xf>
    <xf numFmtId="1" fontId="14" fillId="0" borderId="14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right" wrapText="1"/>
    </xf>
    <xf numFmtId="1" fontId="10" fillId="0" borderId="14" xfId="0" applyNumberFormat="1" applyFont="1" applyFill="1" applyBorder="1" applyAlignment="1">
      <alignment horizontal="right"/>
    </xf>
    <xf numFmtId="1" fontId="10" fillId="0" borderId="14" xfId="0" applyNumberFormat="1" applyFont="1" applyBorder="1" applyAlignment="1">
      <alignment horizontal="right"/>
    </xf>
    <xf numFmtId="1" fontId="10" fillId="0" borderId="14" xfId="1" applyNumberFormat="1" applyFont="1" applyBorder="1" applyAlignment="1">
      <alignment horizontal="right"/>
    </xf>
    <xf numFmtId="1" fontId="15" fillId="0" borderId="2" xfId="0" applyNumberFormat="1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left" vertical="center"/>
    </xf>
    <xf numFmtId="1" fontId="15" fillId="0" borderId="13" xfId="0" applyNumberFormat="1" applyFont="1" applyBorder="1" applyAlignment="1">
      <alignment horizontal="left" vertical="center"/>
    </xf>
    <xf numFmtId="1" fontId="11" fillId="0" borderId="13" xfId="0" applyNumberFormat="1" applyFont="1" applyBorder="1" applyAlignment="1">
      <alignment horizontal="left" vertical="center"/>
    </xf>
    <xf numFmtId="1" fontId="11" fillId="0" borderId="13" xfId="0" applyNumberFormat="1" applyFont="1" applyFill="1" applyBorder="1" applyAlignment="1">
      <alignment horizontal="left" vertical="center"/>
    </xf>
    <xf numFmtId="1" fontId="15" fillId="0" borderId="16" xfId="0" applyNumberFormat="1" applyFont="1" applyBorder="1" applyAlignment="1">
      <alignment horizontal="left" vertical="center"/>
    </xf>
    <xf numFmtId="1" fontId="15" fillId="0" borderId="15" xfId="0" applyNumberFormat="1" applyFont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left" vertical="center"/>
    </xf>
    <xf numFmtId="1" fontId="11" fillId="0" borderId="15" xfId="0" applyNumberFormat="1" applyFont="1" applyFill="1" applyBorder="1" applyAlignment="1">
      <alignment horizontal="left" vertical="center"/>
    </xf>
    <xf numFmtId="1" fontId="10" fillId="0" borderId="21" xfId="0" applyNumberFormat="1" applyFont="1" applyBorder="1" applyAlignment="1">
      <alignment horizontal="left" wrapText="1"/>
    </xf>
    <xf numFmtId="1" fontId="10" fillId="0" borderId="22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left"/>
    </xf>
    <xf numFmtId="0" fontId="17" fillId="0" borderId="1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2" fontId="24" fillId="0" borderId="21" xfId="0" applyNumberFormat="1" applyFont="1" applyBorder="1" applyAlignment="1">
      <alignment horizontal="left"/>
    </xf>
    <xf numFmtId="2" fontId="24" fillId="0" borderId="22" xfId="0" applyNumberFormat="1" applyFont="1" applyBorder="1" applyAlignment="1">
      <alignment horizontal="left"/>
    </xf>
    <xf numFmtId="2" fontId="24" fillId="0" borderId="24" xfId="0" applyNumberFormat="1" applyFont="1" applyBorder="1" applyAlignment="1">
      <alignment horizontal="left"/>
    </xf>
    <xf numFmtId="1" fontId="20" fillId="0" borderId="13" xfId="0" applyNumberFormat="1" applyFont="1" applyFill="1" applyBorder="1" applyAlignment="1">
      <alignment horizontal="left"/>
    </xf>
    <xf numFmtId="1" fontId="20" fillId="0" borderId="53" xfId="0" applyNumberFormat="1" applyFont="1" applyFill="1" applyBorder="1" applyAlignment="1">
      <alignment horizontal="left"/>
    </xf>
    <xf numFmtId="1" fontId="12" fillId="0" borderId="14" xfId="0" applyNumberFormat="1" applyFont="1" applyBorder="1" applyAlignment="1">
      <alignment horizontal="left"/>
    </xf>
    <xf numFmtId="0" fontId="17" fillId="0" borderId="74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1" fontId="12" fillId="0" borderId="19" xfId="0" applyNumberFormat="1" applyFont="1" applyBorder="1" applyAlignment="1">
      <alignment horizontal="left"/>
    </xf>
    <xf numFmtId="1" fontId="12" fillId="0" borderId="29" xfId="0" applyNumberFormat="1" applyFont="1" applyBorder="1" applyAlignment="1">
      <alignment horizontal="left"/>
    </xf>
    <xf numFmtId="1" fontId="12" fillId="0" borderId="20" xfId="0" applyNumberFormat="1" applyFont="1" applyBorder="1" applyAlignment="1">
      <alignment horizontal="left"/>
    </xf>
    <xf numFmtId="1" fontId="12" fillId="0" borderId="16" xfId="0" applyNumberFormat="1" applyFont="1" applyBorder="1" applyAlignment="1">
      <alignment horizontal="left"/>
    </xf>
    <xf numFmtId="1" fontId="12" fillId="0" borderId="15" xfId="0" applyNumberFormat="1" applyFont="1" applyBorder="1" applyAlignment="1">
      <alignment horizontal="left"/>
    </xf>
    <xf numFmtId="1" fontId="20" fillId="0" borderId="21" xfId="0" applyNumberFormat="1" applyFont="1" applyBorder="1" applyAlignment="1">
      <alignment horizontal="left"/>
    </xf>
    <xf numFmtId="1" fontId="20" fillId="0" borderId="22" xfId="0" applyNumberFormat="1" applyFont="1" applyBorder="1" applyAlignment="1">
      <alignment horizontal="left"/>
    </xf>
    <xf numFmtId="1" fontId="20" fillId="0" borderId="24" xfId="0" applyNumberFormat="1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2" fontId="24" fillId="0" borderId="72" xfId="0" applyNumberFormat="1" applyFont="1" applyBorder="1" applyAlignment="1">
      <alignment horizontal="left"/>
    </xf>
    <xf numFmtId="0" fontId="20" fillId="0" borderId="61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7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2" fontId="24" fillId="0" borderId="25" xfId="0" applyNumberFormat="1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2" fontId="10" fillId="0" borderId="13" xfId="0" applyNumberFormat="1" applyFont="1" applyBorder="1" applyAlignment="1">
      <alignment horizontal="left" vertical="center"/>
    </xf>
    <xf numFmtId="0" fontId="12" fillId="0" borderId="49" xfId="0" applyFont="1" applyBorder="1" applyAlignment="1">
      <alignment horizontal="left"/>
    </xf>
    <xf numFmtId="0" fontId="29" fillId="0" borderId="0" xfId="0" applyFont="1" applyAlignment="1">
      <alignment horizontal="left"/>
    </xf>
    <xf numFmtId="1" fontId="11" fillId="0" borderId="0" xfId="0" applyNumberFormat="1" applyFont="1" applyAlignment="1">
      <alignment horizontal="center" vertical="justify" wrapText="1"/>
    </xf>
    <xf numFmtId="1" fontId="11" fillId="0" borderId="18" xfId="0" applyNumberFormat="1" applyFont="1" applyBorder="1" applyAlignment="1">
      <alignment horizontal="center" vertical="justify" wrapText="1"/>
    </xf>
    <xf numFmtId="1" fontId="11" fillId="0" borderId="17" xfId="0" applyNumberFormat="1" applyFont="1" applyBorder="1" applyAlignment="1">
      <alignment horizontal="center" vertical="justify" wrapText="1"/>
    </xf>
    <xf numFmtId="1" fontId="10" fillId="0" borderId="0" xfId="0" applyNumberFormat="1" applyFont="1" applyAlignment="1">
      <alignment horizontal="center" vertical="justify" wrapText="1"/>
    </xf>
    <xf numFmtId="0" fontId="10" fillId="0" borderId="0" xfId="0" applyFont="1" applyAlignment="1">
      <alignment horizontal="center" vertical="justify" wrapText="1"/>
    </xf>
    <xf numFmtId="1" fontId="29" fillId="0" borderId="0" xfId="0" applyNumberFormat="1" applyFont="1" applyAlignment="1">
      <alignment horizontal="left"/>
    </xf>
    <xf numFmtId="2" fontId="6" fillId="0" borderId="46" xfId="0" applyNumberFormat="1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2" fontId="8" fillId="0" borderId="5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2" fontId="8" fillId="0" borderId="40" xfId="0" applyNumberFormat="1" applyFont="1" applyBorder="1" applyAlignment="1">
      <alignment horizontal="left"/>
    </xf>
    <xf numFmtId="2" fontId="8" fillId="0" borderId="52" xfId="0" applyNumberFormat="1" applyFont="1" applyBorder="1" applyAlignment="1">
      <alignment horizontal="left"/>
    </xf>
    <xf numFmtId="2" fontId="8" fillId="0" borderId="53" xfId="0" applyNumberFormat="1" applyFont="1" applyBorder="1" applyAlignment="1">
      <alignment horizontal="left"/>
    </xf>
    <xf numFmtId="2" fontId="8" fillId="0" borderId="53" xfId="0" applyNumberFormat="1" applyFont="1" applyBorder="1" applyAlignment="1">
      <alignment horizontal="left" wrapText="1"/>
    </xf>
    <xf numFmtId="2" fontId="8" fillId="0" borderId="51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left"/>
    </xf>
    <xf numFmtId="2" fontId="8" fillId="0" borderId="52" xfId="0" applyNumberFormat="1" applyFont="1" applyFill="1" applyBorder="1" applyAlignment="1">
      <alignment horizontal="left"/>
    </xf>
    <xf numFmtId="2" fontId="8" fillId="0" borderId="53" xfId="1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left"/>
    </xf>
    <xf numFmtId="2" fontId="8" fillId="0" borderId="52" xfId="1" applyNumberFormat="1" applyFont="1" applyBorder="1" applyAlignment="1">
      <alignment horizontal="left"/>
    </xf>
    <xf numFmtId="2" fontId="6" fillId="0" borderId="53" xfId="0" applyNumberFormat="1" applyFont="1" applyBorder="1" applyAlignment="1">
      <alignment horizontal="left"/>
    </xf>
    <xf numFmtId="2" fontId="8" fillId="0" borderId="51" xfId="1" applyNumberFormat="1" applyFont="1" applyBorder="1" applyAlignment="1">
      <alignment horizontal="left"/>
    </xf>
    <xf numFmtId="2" fontId="6" fillId="0" borderId="51" xfId="0" applyNumberFormat="1" applyFont="1" applyBorder="1" applyAlignment="1">
      <alignment horizontal="left"/>
    </xf>
    <xf numFmtId="2" fontId="6" fillId="0" borderId="50" xfId="0" applyNumberFormat="1" applyFont="1" applyBorder="1" applyAlignment="1">
      <alignment horizontal="left"/>
    </xf>
    <xf numFmtId="2" fontId="11" fillId="0" borderId="58" xfId="0" applyNumberFormat="1" applyFont="1" applyBorder="1" applyAlignment="1">
      <alignment horizontal="left" vertical="center"/>
    </xf>
    <xf numFmtId="2" fontId="11" fillId="0" borderId="59" xfId="0" applyNumberFormat="1" applyFont="1" applyBorder="1" applyAlignment="1">
      <alignment horizontal="left" vertical="center"/>
    </xf>
    <xf numFmtId="2" fontId="11" fillId="0" borderId="60" xfId="0" applyNumberFormat="1" applyFont="1" applyBorder="1" applyAlignment="1">
      <alignment horizontal="left" vertical="center"/>
    </xf>
    <xf numFmtId="2" fontId="5" fillId="0" borderId="57" xfId="0" applyNumberFormat="1" applyFont="1" applyBorder="1" applyAlignment="1">
      <alignment horizontal="left"/>
    </xf>
    <xf numFmtId="2" fontId="5" fillId="0" borderId="59" xfId="0" applyNumberFormat="1" applyFont="1" applyBorder="1" applyAlignment="1">
      <alignment horizontal="left"/>
    </xf>
    <xf numFmtId="2" fontId="5" fillId="0" borderId="60" xfId="0" applyNumberFormat="1" applyFont="1" applyBorder="1" applyAlignment="1">
      <alignment horizontal="left"/>
    </xf>
    <xf numFmtId="2" fontId="5" fillId="0" borderId="72" xfId="0" applyNumberFormat="1" applyFont="1" applyBorder="1" applyAlignment="1">
      <alignment horizontal="left"/>
    </xf>
    <xf numFmtId="2" fontId="11" fillId="0" borderId="57" xfId="0" applyNumberFormat="1" applyFont="1" applyBorder="1" applyAlignment="1">
      <alignment horizontal="left"/>
    </xf>
    <xf numFmtId="0" fontId="11" fillId="0" borderId="59" xfId="0" applyFont="1" applyBorder="1" applyAlignment="1">
      <alignment horizontal="left"/>
    </xf>
    <xf numFmtId="0" fontId="11" fillId="0" borderId="72" xfId="0" applyFont="1" applyBorder="1" applyAlignment="1">
      <alignment horizontal="left"/>
    </xf>
    <xf numFmtId="2" fontId="11" fillId="0" borderId="59" xfId="2" applyNumberFormat="1" applyFont="1" applyBorder="1" applyAlignment="1">
      <alignment horizontal="left"/>
    </xf>
    <xf numFmtId="2" fontId="5" fillId="0" borderId="58" xfId="0" applyNumberFormat="1" applyFont="1" applyBorder="1" applyAlignment="1">
      <alignment horizontal="left"/>
    </xf>
    <xf numFmtId="2" fontId="5" fillId="0" borderId="58" xfId="0" applyNumberFormat="1" applyFont="1" applyBorder="1" applyAlignment="1">
      <alignment horizontal="left" wrapText="1"/>
    </xf>
    <xf numFmtId="3" fontId="7" fillId="0" borderId="58" xfId="0" applyNumberFormat="1" applyFont="1" applyBorder="1" applyAlignment="1">
      <alignment horizontal="left"/>
    </xf>
    <xf numFmtId="3" fontId="7" fillId="0" borderId="59" xfId="0" applyNumberFormat="1" applyFont="1" applyBorder="1" applyAlignment="1">
      <alignment horizontal="left"/>
    </xf>
    <xf numFmtId="3" fontId="7" fillId="0" borderId="72" xfId="0" applyNumberFormat="1" applyFont="1" applyBorder="1" applyAlignment="1">
      <alignment horizontal="left"/>
    </xf>
    <xf numFmtId="2" fontId="5" fillId="0" borderId="57" xfId="0" applyNumberFormat="1" applyFont="1" applyFill="1" applyBorder="1" applyAlignment="1">
      <alignment horizontal="left"/>
    </xf>
    <xf numFmtId="2" fontId="5" fillId="0" borderId="59" xfId="0" applyNumberFormat="1" applyFont="1" applyFill="1" applyBorder="1" applyAlignment="1">
      <alignment horizontal="left"/>
    </xf>
    <xf numFmtId="2" fontId="5" fillId="0" borderId="72" xfId="0" applyNumberFormat="1" applyFont="1" applyFill="1" applyBorder="1" applyAlignment="1">
      <alignment horizontal="left"/>
    </xf>
    <xf numFmtId="2" fontId="5" fillId="0" borderId="58" xfId="1" applyNumberFormat="1" applyFont="1" applyBorder="1" applyAlignment="1">
      <alignment horizontal="left"/>
    </xf>
    <xf numFmtId="2" fontId="5" fillId="0" borderId="59" xfId="1" applyNumberFormat="1" applyFont="1" applyBorder="1" applyAlignment="1">
      <alignment horizontal="left"/>
    </xf>
    <xf numFmtId="2" fontId="5" fillId="0" borderId="72" xfId="1" applyNumberFormat="1" applyFont="1" applyBorder="1" applyAlignment="1">
      <alignment horizontal="left"/>
    </xf>
    <xf numFmtId="2" fontId="5" fillId="0" borderId="56" xfId="0" applyNumberFormat="1" applyFont="1" applyBorder="1" applyAlignment="1">
      <alignment horizontal="left"/>
    </xf>
    <xf numFmtId="2" fontId="11" fillId="0" borderId="70" xfId="0" applyNumberFormat="1" applyFont="1" applyBorder="1" applyAlignment="1">
      <alignment horizontal="left" vertical="center"/>
    </xf>
    <xf numFmtId="2" fontId="11" fillId="0" borderId="73" xfId="0" applyNumberFormat="1" applyFont="1" applyBorder="1" applyAlignment="1">
      <alignment horizontal="left" vertical="center"/>
    </xf>
    <xf numFmtId="2" fontId="11" fillId="0" borderId="71" xfId="0" applyNumberFormat="1" applyFont="1" applyBorder="1" applyAlignment="1">
      <alignment horizontal="left" vertical="center"/>
    </xf>
    <xf numFmtId="2" fontId="8" fillId="0" borderId="68" xfId="0" applyNumberFormat="1" applyFont="1" applyBorder="1" applyAlignment="1">
      <alignment horizontal="left"/>
    </xf>
    <xf numFmtId="2" fontId="8" fillId="0" borderId="73" xfId="0" applyNumberFormat="1" applyFont="1" applyBorder="1" applyAlignment="1">
      <alignment horizontal="left"/>
    </xf>
    <xf numFmtId="2" fontId="8" fillId="0" borderId="71" xfId="0" applyNumberFormat="1" applyFont="1" applyBorder="1" applyAlignment="1">
      <alignment horizontal="left"/>
    </xf>
    <xf numFmtId="2" fontId="8" fillId="0" borderId="69" xfId="0" applyNumberFormat="1" applyFont="1" applyBorder="1" applyAlignment="1">
      <alignment horizontal="left"/>
    </xf>
    <xf numFmtId="2" fontId="11" fillId="0" borderId="68" xfId="0" applyNumberFormat="1" applyFont="1" applyBorder="1" applyAlignment="1">
      <alignment horizontal="left"/>
    </xf>
    <xf numFmtId="0" fontId="11" fillId="0" borderId="73" xfId="0" applyFont="1" applyBorder="1" applyAlignment="1">
      <alignment horizontal="left"/>
    </xf>
    <xf numFmtId="0" fontId="11" fillId="0" borderId="69" xfId="0" applyFont="1" applyBorder="1" applyAlignment="1">
      <alignment horizontal="left"/>
    </xf>
    <xf numFmtId="2" fontId="11" fillId="0" borderId="70" xfId="0" applyNumberFormat="1" applyFont="1" applyBorder="1" applyAlignment="1">
      <alignment horizontal="left"/>
    </xf>
    <xf numFmtId="2" fontId="11" fillId="0" borderId="73" xfId="0" applyNumberFormat="1" applyFont="1" applyBorder="1" applyAlignment="1">
      <alignment horizontal="left"/>
    </xf>
    <xf numFmtId="2" fontId="11" fillId="0" borderId="69" xfId="0" applyNumberFormat="1" applyFont="1" applyBorder="1" applyAlignment="1">
      <alignment horizontal="left"/>
    </xf>
    <xf numFmtId="2" fontId="8" fillId="0" borderId="70" xfId="0" applyNumberFormat="1" applyFont="1" applyBorder="1" applyAlignment="1">
      <alignment horizontal="left"/>
    </xf>
    <xf numFmtId="2" fontId="8" fillId="0" borderId="70" xfId="0" applyNumberFormat="1" applyFont="1" applyBorder="1" applyAlignment="1">
      <alignment horizontal="left" wrapText="1"/>
    </xf>
    <xf numFmtId="0" fontId="3" fillId="0" borderId="70" xfId="0" applyFont="1" applyBorder="1" applyAlignment="1">
      <alignment horizontal="left"/>
    </xf>
    <xf numFmtId="2" fontId="8" fillId="0" borderId="68" xfId="0" applyNumberFormat="1" applyFont="1" applyFill="1" applyBorder="1" applyAlignment="1">
      <alignment horizontal="left"/>
    </xf>
    <xf numFmtId="2" fontId="8" fillId="0" borderId="73" xfId="0" applyNumberFormat="1" applyFont="1" applyFill="1" applyBorder="1" applyAlignment="1">
      <alignment horizontal="left"/>
    </xf>
    <xf numFmtId="2" fontId="8" fillId="0" borderId="69" xfId="0" applyNumberFormat="1" applyFont="1" applyFill="1" applyBorder="1" applyAlignment="1">
      <alignment horizontal="left"/>
    </xf>
    <xf numFmtId="2" fontId="8" fillId="0" borderId="70" xfId="1" applyNumberFormat="1" applyFont="1" applyBorder="1" applyAlignment="1">
      <alignment horizontal="left"/>
    </xf>
    <xf numFmtId="2" fontId="8" fillId="0" borderId="73" xfId="1" applyNumberFormat="1" applyFont="1" applyBorder="1" applyAlignment="1">
      <alignment horizontal="left"/>
    </xf>
    <xf numFmtId="2" fontId="8" fillId="0" borderId="69" xfId="1" applyNumberFormat="1" applyFont="1" applyBorder="1" applyAlignment="1">
      <alignment horizontal="left"/>
    </xf>
    <xf numFmtId="2" fontId="6" fillId="0" borderId="70" xfId="0" applyNumberFormat="1" applyFont="1" applyBorder="1" applyAlignment="1">
      <alignment horizontal="left"/>
    </xf>
    <xf numFmtId="2" fontId="8" fillId="0" borderId="68" xfId="1" applyNumberFormat="1" applyFont="1" applyBorder="1" applyAlignment="1">
      <alignment horizontal="left"/>
    </xf>
    <xf numFmtId="2" fontId="6" fillId="0" borderId="68" xfId="0" applyNumberFormat="1" applyFont="1" applyBorder="1" applyAlignment="1">
      <alignment horizontal="left"/>
    </xf>
    <xf numFmtId="2" fontId="6" fillId="0" borderId="43" xfId="0" applyNumberFormat="1" applyFont="1" applyBorder="1" applyAlignment="1">
      <alignment horizontal="left"/>
    </xf>
    <xf numFmtId="2" fontId="10" fillId="0" borderId="53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10" fillId="0" borderId="40" xfId="0" applyNumberFormat="1" applyFont="1" applyBorder="1" applyAlignment="1">
      <alignment horizontal="left" vertical="center"/>
    </xf>
    <xf numFmtId="2" fontId="10" fillId="0" borderId="5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2" fontId="10" fillId="0" borderId="53" xfId="0" applyNumberFormat="1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2" fontId="10" fillId="0" borderId="52" xfId="0" applyNumberFormat="1" applyFont="1" applyBorder="1" applyAlignment="1">
      <alignment horizontal="left"/>
    </xf>
    <xf numFmtId="164" fontId="12" fillId="0" borderId="53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164" fontId="12" fillId="0" borderId="52" xfId="0" applyNumberFormat="1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2" fontId="5" fillId="0" borderId="68" xfId="0" applyNumberFormat="1" applyFont="1" applyBorder="1" applyAlignment="1">
      <alignment horizontal="left"/>
    </xf>
    <xf numFmtId="2" fontId="5" fillId="0" borderId="73" xfId="0" applyNumberFormat="1" applyFont="1" applyBorder="1" applyAlignment="1">
      <alignment horizontal="left"/>
    </xf>
    <xf numFmtId="2" fontId="5" fillId="0" borderId="71" xfId="0" applyNumberFormat="1" applyFont="1" applyBorder="1" applyAlignment="1">
      <alignment horizontal="left"/>
    </xf>
    <xf numFmtId="2" fontId="5" fillId="0" borderId="69" xfId="0" applyNumberFormat="1" applyFont="1" applyBorder="1" applyAlignment="1">
      <alignment horizontal="left"/>
    </xf>
    <xf numFmtId="2" fontId="5" fillId="0" borderId="70" xfId="0" applyNumberFormat="1" applyFont="1" applyBorder="1" applyAlignment="1">
      <alignment horizontal="left"/>
    </xf>
    <xf numFmtId="2" fontId="5" fillId="0" borderId="70" xfId="0" applyNumberFormat="1" applyFont="1" applyBorder="1" applyAlignment="1">
      <alignment horizontal="left" wrapText="1"/>
    </xf>
    <xf numFmtId="3" fontId="7" fillId="0" borderId="70" xfId="0" applyNumberFormat="1" applyFont="1" applyBorder="1" applyAlignment="1">
      <alignment horizontal="left"/>
    </xf>
    <xf numFmtId="3" fontId="7" fillId="0" borderId="73" xfId="0" applyNumberFormat="1" applyFont="1" applyBorder="1" applyAlignment="1">
      <alignment horizontal="left"/>
    </xf>
    <xf numFmtId="3" fontId="7" fillId="0" borderId="69" xfId="0" applyNumberFormat="1" applyFont="1" applyBorder="1" applyAlignment="1">
      <alignment horizontal="left"/>
    </xf>
    <xf numFmtId="2" fontId="5" fillId="0" borderId="68" xfId="0" applyNumberFormat="1" applyFont="1" applyFill="1" applyBorder="1" applyAlignment="1">
      <alignment horizontal="left"/>
    </xf>
    <xf numFmtId="2" fontId="5" fillId="0" borderId="73" xfId="0" applyNumberFormat="1" applyFont="1" applyFill="1" applyBorder="1" applyAlignment="1">
      <alignment horizontal="left"/>
    </xf>
    <xf numFmtId="2" fontId="5" fillId="0" borderId="69" xfId="0" applyNumberFormat="1" applyFont="1" applyFill="1" applyBorder="1" applyAlignment="1">
      <alignment horizontal="left"/>
    </xf>
    <xf numFmtId="2" fontId="5" fillId="0" borderId="70" xfId="1" applyNumberFormat="1" applyFont="1" applyBorder="1" applyAlignment="1">
      <alignment horizontal="left"/>
    </xf>
    <xf numFmtId="2" fontId="5" fillId="0" borderId="73" xfId="1" applyNumberFormat="1" applyFont="1" applyBorder="1" applyAlignment="1">
      <alignment horizontal="left"/>
    </xf>
    <xf numFmtId="2" fontId="5" fillId="0" borderId="69" xfId="1" applyNumberFormat="1" applyFont="1" applyBorder="1" applyAlignment="1">
      <alignment horizontal="left"/>
    </xf>
    <xf numFmtId="2" fontId="5" fillId="0" borderId="68" xfId="1" applyNumberFormat="1" applyFont="1" applyBorder="1" applyAlignment="1">
      <alignment horizontal="left"/>
    </xf>
    <xf numFmtId="2" fontId="5" fillId="0" borderId="43" xfId="0" applyNumberFormat="1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2" fontId="9" fillId="0" borderId="70" xfId="0" applyNumberFormat="1" applyFont="1" applyBorder="1" applyAlignment="1">
      <alignment horizontal="left" vertical="center"/>
    </xf>
    <xf numFmtId="2" fontId="9" fillId="0" borderId="73" xfId="0" applyNumberFormat="1" applyFont="1" applyBorder="1" applyAlignment="1">
      <alignment horizontal="left" vertical="center"/>
    </xf>
    <xf numFmtId="2" fontId="9" fillId="0" borderId="71" xfId="0" applyNumberFormat="1" applyFont="1" applyBorder="1" applyAlignment="1">
      <alignment horizontal="left" vertical="center"/>
    </xf>
    <xf numFmtId="2" fontId="9" fillId="0" borderId="68" xfId="0" applyNumberFormat="1" applyFont="1" applyBorder="1" applyAlignment="1">
      <alignment horizontal="left"/>
    </xf>
    <xf numFmtId="0" fontId="9" fillId="0" borderId="73" xfId="0" applyFont="1" applyBorder="1" applyAlignment="1">
      <alignment horizontal="left"/>
    </xf>
    <xf numFmtId="0" fontId="9" fillId="0" borderId="69" xfId="0" applyFont="1" applyBorder="1" applyAlignment="1">
      <alignment horizontal="left"/>
    </xf>
    <xf numFmtId="2" fontId="9" fillId="0" borderId="70" xfId="0" applyNumberFormat="1" applyFont="1" applyBorder="1" applyAlignment="1">
      <alignment horizontal="left"/>
    </xf>
    <xf numFmtId="2" fontId="9" fillId="0" borderId="73" xfId="0" applyNumberFormat="1" applyFont="1" applyBorder="1" applyAlignment="1">
      <alignment horizontal="left"/>
    </xf>
    <xf numFmtId="2" fontId="9" fillId="0" borderId="69" xfId="0" applyNumberFormat="1" applyFont="1" applyBorder="1" applyAlignment="1">
      <alignment horizontal="left"/>
    </xf>
    <xf numFmtId="0" fontId="20" fillId="0" borderId="73" xfId="0" applyFont="1" applyBorder="1" applyAlignment="1">
      <alignment horizontal="left"/>
    </xf>
    <xf numFmtId="0" fontId="20" fillId="0" borderId="69" xfId="0" applyFont="1" applyBorder="1" applyAlignment="1">
      <alignment horizontal="left"/>
    </xf>
    <xf numFmtId="2" fontId="10" fillId="0" borderId="34" xfId="0" applyNumberFormat="1" applyFont="1" applyBorder="1" applyAlignment="1">
      <alignment horizontal="left"/>
    </xf>
    <xf numFmtId="1" fontId="11" fillId="0" borderId="21" xfId="0" applyNumberFormat="1" applyFont="1" applyFill="1" applyBorder="1" applyAlignment="1">
      <alignment horizontal="left" vertical="center"/>
    </xf>
    <xf numFmtId="1" fontId="11" fillId="0" borderId="22" xfId="0" applyNumberFormat="1" applyFont="1" applyFill="1" applyBorder="1" applyAlignment="1">
      <alignment horizontal="left" vertical="center"/>
    </xf>
    <xf numFmtId="1" fontId="11" fillId="0" borderId="24" xfId="0" applyNumberFormat="1" applyFont="1" applyFill="1" applyBorder="1" applyAlignment="1">
      <alignment horizontal="left" vertical="center"/>
    </xf>
    <xf numFmtId="1" fontId="10" fillId="0" borderId="28" xfId="0" applyNumberFormat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1" fontId="9" fillId="0" borderId="15" xfId="0" applyNumberFormat="1" applyFont="1" applyBorder="1" applyAlignment="1">
      <alignment vertical="center"/>
    </xf>
    <xf numFmtId="1" fontId="10" fillId="0" borderId="16" xfId="0" applyNumberFormat="1" applyFont="1" applyBorder="1" applyAlignment="1">
      <alignment vertical="center"/>
    </xf>
    <xf numFmtId="1" fontId="10" fillId="0" borderId="15" xfId="0" applyNumberFormat="1" applyFont="1" applyBorder="1" applyAlignment="1">
      <alignment vertical="center"/>
    </xf>
    <xf numFmtId="1" fontId="9" fillId="0" borderId="21" xfId="0" applyNumberFormat="1" applyFont="1" applyBorder="1" applyAlignment="1">
      <alignment vertical="center"/>
    </xf>
    <xf numFmtId="1" fontId="9" fillId="0" borderId="24" xfId="0" applyNumberFormat="1" applyFont="1" applyBorder="1" applyAlignment="1">
      <alignment vertical="center"/>
    </xf>
    <xf numFmtId="1" fontId="18" fillId="0" borderId="28" xfId="0" applyNumberFormat="1" applyFont="1" applyBorder="1" applyAlignment="1">
      <alignment horizontal="left"/>
    </xf>
    <xf numFmtId="1" fontId="18" fillId="0" borderId="66" xfId="0" applyNumberFormat="1" applyFont="1" applyBorder="1" applyAlignment="1">
      <alignment horizontal="left"/>
    </xf>
    <xf numFmtId="1" fontId="13" fillId="0" borderId="66" xfId="0" applyNumberFormat="1" applyFont="1" applyBorder="1" applyAlignment="1">
      <alignment horizontal="left"/>
    </xf>
    <xf numFmtId="1" fontId="11" fillId="0" borderId="66" xfId="0" applyNumberFormat="1" applyFont="1" applyBorder="1" applyAlignment="1">
      <alignment horizontal="left"/>
    </xf>
    <xf numFmtId="1" fontId="9" fillId="0" borderId="66" xfId="0" applyNumberFormat="1" applyFont="1" applyBorder="1"/>
    <xf numFmtId="1" fontId="11" fillId="0" borderId="76" xfId="0" applyNumberFormat="1" applyFont="1" applyBorder="1" applyAlignment="1">
      <alignment horizontal="left"/>
    </xf>
    <xf numFmtId="1" fontId="3" fillId="0" borderId="0" xfId="0" applyNumberFormat="1" applyFont="1" applyFill="1" applyAlignment="1">
      <alignment horizontal="left"/>
    </xf>
    <xf numFmtId="1" fontId="7" fillId="0" borderId="7" xfId="0" applyNumberFormat="1" applyFont="1" applyFill="1" applyBorder="1" applyAlignment="1">
      <alignment horizontal="left"/>
    </xf>
    <xf numFmtId="1" fontId="29" fillId="0" borderId="8" xfId="0" applyNumberFormat="1" applyFont="1" applyBorder="1" applyAlignment="1">
      <alignment horizontal="left"/>
    </xf>
    <xf numFmtId="1" fontId="5" fillId="0" borderId="58" xfId="0" applyNumberFormat="1" applyFont="1" applyFill="1" applyBorder="1" applyAlignment="1">
      <alignment horizontal="left"/>
    </xf>
    <xf numFmtId="1" fontId="5" fillId="0" borderId="59" xfId="0" applyNumberFormat="1" applyFont="1" applyFill="1" applyBorder="1" applyAlignment="1">
      <alignment horizontal="left"/>
    </xf>
    <xf numFmtId="1" fontId="29" fillId="0" borderId="9" xfId="0" applyNumberFormat="1" applyFont="1" applyBorder="1" applyAlignment="1">
      <alignment horizontal="left"/>
    </xf>
    <xf numFmtId="1" fontId="10" fillId="0" borderId="13" xfId="0" applyNumberFormat="1" applyFont="1" applyBorder="1" applyAlignment="1">
      <alignment horizontal="left" vertical="center"/>
    </xf>
    <xf numFmtId="1" fontId="13" fillId="0" borderId="46" xfId="0" applyNumberFormat="1" applyFont="1" applyFill="1" applyBorder="1" applyAlignment="1">
      <alignment horizontal="left" vertical="center" wrapText="1"/>
    </xf>
    <xf numFmtId="1" fontId="13" fillId="0" borderId="46" xfId="0" applyNumberFormat="1" applyFont="1" applyFill="1" applyBorder="1" applyAlignment="1">
      <alignment horizontal="left" vertical="top" wrapText="1"/>
    </xf>
    <xf numFmtId="1" fontId="15" fillId="0" borderId="46" xfId="0" applyNumberFormat="1" applyFont="1" applyFill="1" applyBorder="1" applyAlignment="1">
      <alignment horizontal="left" vertical="top" wrapText="1"/>
    </xf>
    <xf numFmtId="1" fontId="14" fillId="0" borderId="46" xfId="0" applyNumberFormat="1" applyFont="1" applyFill="1" applyBorder="1" applyAlignment="1">
      <alignment horizontal="left" vertical="top" wrapText="1"/>
    </xf>
    <xf numFmtId="1" fontId="27" fillId="0" borderId="46" xfId="0" applyNumberFormat="1" applyFont="1" applyFill="1" applyBorder="1" applyAlignment="1">
      <alignment horizontal="left" vertical="top" wrapText="1"/>
    </xf>
    <xf numFmtId="1" fontId="11" fillId="0" borderId="46" xfId="0" applyNumberFormat="1" applyFont="1" applyFill="1" applyBorder="1" applyAlignment="1">
      <alignment horizontal="left" vertical="top" wrapText="1"/>
    </xf>
    <xf numFmtId="2" fontId="13" fillId="0" borderId="46" xfId="0" applyNumberFormat="1" applyFont="1" applyFill="1" applyBorder="1" applyAlignment="1">
      <alignment horizontal="left" vertical="center" wrapText="1"/>
    </xf>
    <xf numFmtId="1" fontId="27" fillId="0" borderId="48" xfId="0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1" fontId="9" fillId="0" borderId="46" xfId="0" applyNumberFormat="1" applyFont="1" applyBorder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1" fontId="10" fillId="0" borderId="23" xfId="0" applyNumberFormat="1" applyFont="1" applyBorder="1" applyAlignment="1">
      <alignment horizontal="left"/>
    </xf>
    <xf numFmtId="2" fontId="10" fillId="0" borderId="13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 vertical="center" shrinkToFit="1"/>
    </xf>
    <xf numFmtId="1" fontId="10" fillId="0" borderId="14" xfId="0" applyNumberFormat="1" applyFont="1" applyFill="1" applyBorder="1" applyAlignment="1">
      <alignment horizontal="left" wrapText="1"/>
    </xf>
    <xf numFmtId="1" fontId="10" fillId="0" borderId="14" xfId="0" applyNumberFormat="1" applyFont="1" applyFill="1" applyBorder="1" applyAlignment="1">
      <alignment horizontal="left" vertical="top" shrinkToFit="1"/>
    </xf>
    <xf numFmtId="1" fontId="10" fillId="0" borderId="14" xfId="0" applyNumberFormat="1" applyFont="1" applyFill="1" applyBorder="1" applyAlignment="1">
      <alignment horizontal="left" vertical="top" wrapText="1"/>
    </xf>
    <xf numFmtId="2" fontId="10" fillId="0" borderId="14" xfId="0" applyNumberFormat="1" applyFont="1" applyFill="1" applyBorder="1" applyAlignment="1">
      <alignment horizontal="left" vertical="center" wrapText="1"/>
    </xf>
    <xf numFmtId="1" fontId="9" fillId="0" borderId="14" xfId="0" applyNumberFormat="1" applyFont="1" applyFill="1" applyBorder="1" applyAlignment="1">
      <alignment horizontal="left" vertical="top" shrinkToFit="1"/>
    </xf>
    <xf numFmtId="1" fontId="10" fillId="0" borderId="16" xfId="0" applyNumberFormat="1" applyFont="1" applyFill="1" applyBorder="1" applyAlignment="1">
      <alignment horizontal="left" vertical="center" shrinkToFit="1"/>
    </xf>
    <xf numFmtId="1" fontId="10" fillId="0" borderId="15" xfId="0" applyNumberFormat="1" applyFont="1" applyFill="1" applyBorder="1" applyAlignment="1">
      <alignment horizontal="left" vertical="center" shrinkToFit="1"/>
    </xf>
    <xf numFmtId="1" fontId="10" fillId="0" borderId="16" xfId="0" applyNumberFormat="1" applyFont="1" applyFill="1" applyBorder="1" applyAlignment="1">
      <alignment horizontal="left" wrapText="1"/>
    </xf>
    <xf numFmtId="1" fontId="10" fillId="0" borderId="15" xfId="0" applyNumberFormat="1" applyFont="1" applyFill="1" applyBorder="1" applyAlignment="1">
      <alignment horizontal="left" wrapText="1"/>
    </xf>
    <xf numFmtId="1" fontId="10" fillId="0" borderId="16" xfId="0" applyNumberFormat="1" applyFont="1" applyFill="1" applyBorder="1" applyAlignment="1">
      <alignment horizontal="left" vertical="top" shrinkToFit="1"/>
    </xf>
    <xf numFmtId="1" fontId="10" fillId="0" borderId="15" xfId="0" applyNumberFormat="1" applyFont="1" applyFill="1" applyBorder="1" applyAlignment="1">
      <alignment horizontal="left" vertical="top" shrinkToFit="1"/>
    </xf>
    <xf numFmtId="1" fontId="10" fillId="0" borderId="16" xfId="0" applyNumberFormat="1" applyFont="1" applyFill="1" applyBorder="1" applyAlignment="1">
      <alignment horizontal="left" vertical="top" wrapText="1"/>
    </xf>
    <xf numFmtId="1" fontId="10" fillId="0" borderId="15" xfId="0" applyNumberFormat="1" applyFont="1" applyFill="1" applyBorder="1" applyAlignment="1">
      <alignment horizontal="left" vertical="top" wrapText="1"/>
    </xf>
    <xf numFmtId="2" fontId="10" fillId="0" borderId="16" xfId="0" applyNumberFormat="1" applyFont="1" applyFill="1" applyBorder="1" applyAlignment="1">
      <alignment horizontal="left" vertical="center" wrapText="1"/>
    </xf>
    <xf numFmtId="2" fontId="10" fillId="0" borderId="15" xfId="0" applyNumberFormat="1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horizontal="left" vertical="top" shrinkToFit="1"/>
    </xf>
    <xf numFmtId="1" fontId="9" fillId="0" borderId="15" xfId="0" applyNumberFormat="1" applyFont="1" applyFill="1" applyBorder="1" applyAlignment="1">
      <alignment horizontal="left" vertical="top" shrinkToFit="1"/>
    </xf>
    <xf numFmtId="1" fontId="9" fillId="0" borderId="21" xfId="0" applyNumberFormat="1" applyFont="1" applyFill="1" applyBorder="1" applyAlignment="1">
      <alignment horizontal="left" vertical="top" shrinkToFit="1"/>
    </xf>
    <xf numFmtId="1" fontId="9" fillId="0" borderId="22" xfId="0" applyNumberFormat="1" applyFont="1" applyFill="1" applyBorder="1" applyAlignment="1">
      <alignment horizontal="left" vertical="top" shrinkToFit="1"/>
    </xf>
    <xf numFmtId="1" fontId="9" fillId="0" borderId="24" xfId="0" applyNumberFormat="1" applyFont="1" applyFill="1" applyBorder="1" applyAlignment="1">
      <alignment horizontal="left" vertical="top" shrinkToFit="1"/>
    </xf>
    <xf numFmtId="2" fontId="10" fillId="0" borderId="13" xfId="1" applyNumberFormat="1" applyFont="1" applyBorder="1" applyAlignment="1">
      <alignment horizontal="left"/>
    </xf>
    <xf numFmtId="1" fontId="27" fillId="0" borderId="15" xfId="0" applyNumberFormat="1" applyFont="1" applyFill="1" applyBorder="1" applyAlignment="1">
      <alignment horizontal="left"/>
    </xf>
    <xf numFmtId="2" fontId="10" fillId="0" borderId="15" xfId="0" applyNumberFormat="1" applyFont="1" applyFill="1" applyBorder="1" applyAlignment="1">
      <alignment horizontal="left"/>
    </xf>
    <xf numFmtId="1" fontId="10" fillId="0" borderId="46" xfId="1" applyNumberFormat="1" applyFont="1" applyBorder="1" applyAlignment="1">
      <alignment horizontal="left"/>
    </xf>
    <xf numFmtId="1" fontId="27" fillId="0" borderId="15" xfId="1" applyNumberFormat="1" applyFont="1" applyBorder="1" applyAlignment="1">
      <alignment horizontal="left"/>
    </xf>
    <xf numFmtId="2" fontId="10" fillId="0" borderId="15" xfId="1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10" fillId="0" borderId="17" xfId="0" applyNumberFormat="1" applyFont="1" applyBorder="1" applyAlignment="1">
      <alignment horizontal="left"/>
    </xf>
    <xf numFmtId="2" fontId="10" fillId="0" borderId="25" xfId="1" applyNumberFormat="1" applyFont="1" applyBorder="1" applyAlignment="1">
      <alignment horizontal="left"/>
    </xf>
    <xf numFmtId="2" fontId="10" fillId="0" borderId="22" xfId="1" applyNumberFormat="1" applyFont="1" applyBorder="1" applyAlignment="1">
      <alignment horizontal="left"/>
    </xf>
    <xf numFmtId="2" fontId="10" fillId="0" borderId="24" xfId="1" applyNumberFormat="1" applyFont="1" applyBorder="1" applyAlignment="1">
      <alignment horizontal="left"/>
    </xf>
    <xf numFmtId="1" fontId="11" fillId="0" borderId="51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1" fontId="11" fillId="0" borderId="52" xfId="0" applyNumberFormat="1" applyFont="1" applyFill="1" applyBorder="1" applyAlignment="1">
      <alignment horizontal="left" vertical="center"/>
    </xf>
    <xf numFmtId="2" fontId="9" fillId="0" borderId="19" xfId="0" applyNumberFormat="1" applyFont="1" applyBorder="1" applyAlignment="1">
      <alignment horizontal="left"/>
    </xf>
    <xf numFmtId="2" fontId="9" fillId="0" borderId="29" xfId="0" applyNumberFormat="1" applyFont="1" applyBorder="1" applyAlignment="1">
      <alignment horizontal="left"/>
    </xf>
    <xf numFmtId="2" fontId="10" fillId="0" borderId="29" xfId="0" applyNumberFormat="1" applyFont="1" applyBorder="1" applyAlignment="1">
      <alignment horizontal="left"/>
    </xf>
    <xf numFmtId="2" fontId="10" fillId="0" borderId="20" xfId="0" applyNumberFormat="1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57" xfId="0" applyFont="1" applyBorder="1" applyAlignment="1">
      <alignment horizontal="center" vertical="justify" wrapText="1"/>
    </xf>
    <xf numFmtId="0" fontId="11" fillId="0" borderId="8" xfId="0" applyFont="1" applyBorder="1" applyAlignment="1">
      <alignment horizontal="center" vertical="justify" wrapText="1"/>
    </xf>
    <xf numFmtId="0" fontId="11" fillId="0" borderId="56" xfId="0" applyFont="1" applyBorder="1" applyAlignment="1">
      <alignment horizontal="center" vertical="justify" wrapText="1"/>
    </xf>
    <xf numFmtId="0" fontId="11" fillId="0" borderId="9" xfId="0" applyFont="1" applyBorder="1" applyAlignment="1">
      <alignment horizontal="center" vertical="justify" wrapText="1"/>
    </xf>
    <xf numFmtId="0" fontId="11" fillId="0" borderId="58" xfId="0" applyFont="1" applyBorder="1" applyAlignment="1">
      <alignment horizontal="center" vertical="justify" wrapText="1"/>
    </xf>
    <xf numFmtId="0" fontId="13" fillId="0" borderId="43" xfId="0" applyFont="1" applyBorder="1" applyAlignment="1">
      <alignment horizontal="center"/>
    </xf>
    <xf numFmtId="1" fontId="10" fillId="0" borderId="19" xfId="0" applyNumberFormat="1" applyFont="1" applyBorder="1" applyAlignment="1">
      <alignment horizontal="center" vertical="justify" wrapText="1"/>
    </xf>
    <xf numFmtId="1" fontId="9" fillId="0" borderId="29" xfId="0" applyNumberFormat="1" applyFont="1" applyBorder="1" applyAlignment="1">
      <alignment horizontal="center" vertical="justify" wrapText="1"/>
    </xf>
    <xf numFmtId="1" fontId="9" fillId="0" borderId="11" xfId="0" applyNumberFormat="1" applyFont="1" applyBorder="1" applyAlignment="1">
      <alignment horizontal="center" vertical="justify" wrapText="1"/>
    </xf>
    <xf numFmtId="1" fontId="9" fillId="0" borderId="49" xfId="0" applyNumberFormat="1" applyFont="1" applyBorder="1" applyAlignment="1">
      <alignment horizontal="center" vertical="justify" wrapText="1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3" fontId="13" fillId="0" borderId="29" xfId="0" applyNumberFormat="1" applyFont="1" applyBorder="1" applyAlignment="1">
      <alignment horizontal="center"/>
    </xf>
    <xf numFmtId="164" fontId="13" fillId="0" borderId="29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3" fontId="13" fillId="0" borderId="49" xfId="0" applyNumberFormat="1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1" fontId="18" fillId="0" borderId="16" xfId="0" applyNumberFormat="1" applyFont="1" applyBorder="1" applyAlignment="1">
      <alignment horizontal="center" vertical="justify" wrapText="1"/>
    </xf>
    <xf numFmtId="1" fontId="10" fillId="0" borderId="14" xfId="0" applyNumberFormat="1" applyFont="1" applyBorder="1" applyAlignment="1">
      <alignment horizontal="center" vertical="justify" wrapText="1"/>
    </xf>
    <xf numFmtId="1" fontId="10" fillId="0" borderId="2" xfId="0" applyNumberFormat="1" applyFont="1" applyBorder="1" applyAlignment="1">
      <alignment horizontal="center" vertical="justify" wrapText="1"/>
    </xf>
    <xf numFmtId="1" fontId="10" fillId="0" borderId="46" xfId="0" applyNumberFormat="1" applyFont="1" applyBorder="1" applyAlignment="1">
      <alignment horizontal="center" vertical="justify" wrapText="1"/>
    </xf>
    <xf numFmtId="2" fontId="10" fillId="0" borderId="47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46" xfId="0" applyNumberFormat="1" applyFont="1" applyBorder="1" applyAlignment="1">
      <alignment horizontal="center"/>
    </xf>
    <xf numFmtId="2" fontId="10" fillId="0" borderId="47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46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" fontId="9" fillId="0" borderId="62" xfId="0" applyNumberFormat="1" applyFont="1" applyBorder="1" applyAlignment="1">
      <alignment horizontal="center" vertical="center"/>
    </xf>
    <xf numFmtId="1" fontId="10" fillId="0" borderId="14" xfId="2" applyNumberFormat="1" applyFont="1" applyBorder="1" applyAlignment="1">
      <alignment horizontal="center"/>
    </xf>
    <xf numFmtId="1" fontId="10" fillId="0" borderId="15" xfId="2" applyNumberFormat="1" applyFont="1" applyBorder="1" applyAlignment="1">
      <alignment horizontal="center"/>
    </xf>
    <xf numFmtId="2" fontId="10" fillId="0" borderId="46" xfId="2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 wrapText="1"/>
    </xf>
    <xf numFmtId="1" fontId="13" fillId="0" borderId="16" xfId="0" applyNumberFormat="1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6" xfId="0" applyNumberFormat="1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" fontId="10" fillId="0" borderId="46" xfId="0" applyNumberFormat="1" applyFont="1" applyFill="1" applyBorder="1" applyAlignment="1">
      <alignment horizontal="center"/>
    </xf>
    <xf numFmtId="2" fontId="10" fillId="0" borderId="47" xfId="0" applyNumberFormat="1" applyFont="1" applyFill="1" applyBorder="1" applyAlignment="1">
      <alignment horizontal="center"/>
    </xf>
    <xf numFmtId="1" fontId="10" fillId="0" borderId="13" xfId="1" applyNumberFormat="1" applyFont="1" applyBorder="1" applyAlignment="1">
      <alignment horizontal="center"/>
    </xf>
    <xf numFmtId="1" fontId="10" fillId="0" borderId="14" xfId="1" applyNumberFormat="1" applyFont="1" applyBorder="1" applyAlignment="1">
      <alignment horizontal="center"/>
    </xf>
    <xf numFmtId="1" fontId="10" fillId="0" borderId="2" xfId="1" applyNumberFormat="1" applyFont="1" applyBorder="1" applyAlignment="1">
      <alignment horizontal="center"/>
    </xf>
    <xf numFmtId="1" fontId="10" fillId="0" borderId="46" xfId="1" applyNumberFormat="1" applyFont="1" applyBorder="1" applyAlignment="1">
      <alignment horizontal="center"/>
    </xf>
    <xf numFmtId="2" fontId="10" fillId="0" borderId="46" xfId="1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4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 vertical="justify" wrapText="1"/>
    </xf>
    <xf numFmtId="1" fontId="18" fillId="0" borderId="16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" fontId="9" fillId="0" borderId="14" xfId="0" applyNumberFormat="1" applyFont="1" applyBorder="1" applyAlignment="1">
      <alignment horizontal="center" vertical="justify" wrapText="1"/>
    </xf>
    <xf numFmtId="1" fontId="9" fillId="0" borderId="2" xfId="0" applyNumberFormat="1" applyFont="1" applyBorder="1" applyAlignment="1">
      <alignment horizontal="center" vertical="justify" wrapText="1"/>
    </xf>
    <xf numFmtId="1" fontId="9" fillId="0" borderId="46" xfId="0" applyNumberFormat="1" applyFont="1" applyBorder="1" applyAlignment="1">
      <alignment horizontal="center" vertical="justify" wrapText="1"/>
    </xf>
    <xf numFmtId="2" fontId="9" fillId="0" borderId="47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2" fontId="9" fillId="0" borderId="47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46" xfId="0" applyNumberFormat="1" applyFont="1" applyBorder="1" applyAlignment="1">
      <alignment horizontal="center"/>
    </xf>
    <xf numFmtId="2" fontId="14" fillId="0" borderId="46" xfId="0" applyNumberFormat="1" applyFont="1" applyBorder="1" applyAlignment="1">
      <alignment horizontal="center"/>
    </xf>
    <xf numFmtId="1" fontId="10" fillId="0" borderId="12" xfId="0" applyNumberFormat="1" applyFont="1" applyFill="1" applyBorder="1" applyAlignment="1">
      <alignment horizontal="center" vertical="justify" wrapText="1"/>
    </xf>
    <xf numFmtId="1" fontId="10" fillId="0" borderId="0" xfId="0" applyNumberFormat="1" applyFont="1" applyBorder="1" applyAlignment="1">
      <alignment horizontal="center" vertical="justify" wrapText="1"/>
    </xf>
    <xf numFmtId="1" fontId="10" fillId="0" borderId="15" xfId="0" applyNumberFormat="1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 vertical="justify" wrapText="1"/>
    </xf>
    <xf numFmtId="1" fontId="10" fillId="0" borderId="22" xfId="0" applyNumberFormat="1" applyFont="1" applyBorder="1" applyAlignment="1">
      <alignment horizontal="center" vertical="justify" wrapText="1"/>
    </xf>
    <xf numFmtId="1" fontId="10" fillId="0" borderId="23" xfId="0" applyNumberFormat="1" applyFont="1" applyBorder="1" applyAlignment="1">
      <alignment horizontal="center" vertical="justify" wrapText="1"/>
    </xf>
    <xf numFmtId="1" fontId="10" fillId="0" borderId="48" xfId="0" applyNumberFormat="1" applyFont="1" applyBorder="1" applyAlignment="1">
      <alignment horizontal="center" vertical="justify" wrapText="1"/>
    </xf>
    <xf numFmtId="2" fontId="10" fillId="0" borderId="64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1" fontId="10" fillId="0" borderId="48" xfId="0" applyNumberFormat="1" applyFont="1" applyBorder="1" applyAlignment="1">
      <alignment horizontal="center"/>
    </xf>
    <xf numFmtId="2" fontId="10" fillId="0" borderId="64" xfId="0" applyNumberFormat="1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2" fontId="10" fillId="0" borderId="48" xfId="0" applyNumberFormat="1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1" fontId="9" fillId="0" borderId="45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/>
    </xf>
    <xf numFmtId="1" fontId="10" fillId="0" borderId="25" xfId="0" applyNumberFormat="1" applyFont="1" applyBorder="1" applyAlignment="1">
      <alignment horizontal="center" wrapText="1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1" fontId="13" fillId="0" borderId="48" xfId="0" applyNumberFormat="1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center"/>
    </xf>
    <xf numFmtId="1" fontId="10" fillId="0" borderId="23" xfId="0" applyNumberFormat="1" applyFont="1" applyFill="1" applyBorder="1" applyAlignment="1">
      <alignment horizontal="center"/>
    </xf>
    <xf numFmtId="1" fontId="10" fillId="0" borderId="48" xfId="0" applyNumberFormat="1" applyFont="1" applyFill="1" applyBorder="1" applyAlignment="1">
      <alignment horizontal="center"/>
    </xf>
    <xf numFmtId="2" fontId="10" fillId="0" borderId="64" xfId="0" applyNumberFormat="1" applyFont="1" applyFill="1" applyBorder="1" applyAlignment="1">
      <alignment horizontal="center"/>
    </xf>
    <xf numFmtId="1" fontId="10" fillId="0" borderId="25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1" fontId="10" fillId="0" borderId="23" xfId="1" applyNumberFormat="1" applyFont="1" applyBorder="1" applyAlignment="1">
      <alignment horizontal="center"/>
    </xf>
    <xf numFmtId="1" fontId="10" fillId="0" borderId="48" xfId="1" applyNumberFormat="1" applyFont="1" applyBorder="1" applyAlignment="1">
      <alignment horizontal="center"/>
    </xf>
    <xf numFmtId="2" fontId="10" fillId="0" borderId="48" xfId="1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left"/>
    </xf>
    <xf numFmtId="2" fontId="13" fillId="0" borderId="15" xfId="0" applyNumberFormat="1" applyFont="1" applyBorder="1" applyAlignment="1">
      <alignment horizontal="left"/>
    </xf>
    <xf numFmtId="2" fontId="10" fillId="0" borderId="16" xfId="0" applyNumberFormat="1" applyFont="1" applyFill="1" applyBorder="1" applyAlignment="1">
      <alignment horizontal="left"/>
    </xf>
    <xf numFmtId="2" fontId="10" fillId="0" borderId="16" xfId="1" applyNumberFormat="1" applyFont="1" applyBorder="1" applyAlignment="1">
      <alignment horizontal="left"/>
    </xf>
    <xf numFmtId="2" fontId="10" fillId="0" borderId="2" xfId="1" applyNumberFormat="1" applyFont="1" applyBorder="1" applyAlignment="1">
      <alignment horizontal="left"/>
    </xf>
    <xf numFmtId="10" fontId="10" fillId="0" borderId="16" xfId="0" applyNumberFormat="1" applyFont="1" applyBorder="1" applyAlignment="1">
      <alignment horizontal="left"/>
    </xf>
    <xf numFmtId="10" fontId="10" fillId="0" borderId="14" xfId="0" applyNumberFormat="1" applyFont="1" applyBorder="1" applyAlignment="1">
      <alignment horizontal="left"/>
    </xf>
    <xf numFmtId="10" fontId="9" fillId="0" borderId="15" xfId="0" applyNumberFormat="1" applyFont="1" applyBorder="1" applyAlignment="1">
      <alignment horizontal="left" vertical="center"/>
    </xf>
    <xf numFmtId="10" fontId="10" fillId="0" borderId="16" xfId="2" applyNumberFormat="1" applyFont="1" applyBorder="1" applyAlignment="1">
      <alignment horizontal="left"/>
    </xf>
    <xf numFmtId="10" fontId="10" fillId="0" borderId="14" xfId="2" applyNumberFormat="1" applyFont="1" applyBorder="1" applyAlignment="1">
      <alignment horizontal="left"/>
    </xf>
    <xf numFmtId="10" fontId="10" fillId="0" borderId="15" xfId="2" applyNumberFormat="1" applyFont="1" applyBorder="1" applyAlignment="1">
      <alignment horizontal="left"/>
    </xf>
    <xf numFmtId="10" fontId="10" fillId="0" borderId="15" xfId="0" applyNumberFormat="1" applyFont="1" applyBorder="1" applyAlignment="1">
      <alignment horizontal="left"/>
    </xf>
    <xf numFmtId="2" fontId="10" fillId="0" borderId="22" xfId="0" applyNumberFormat="1" applyFont="1" applyBorder="1" applyAlignment="1">
      <alignment horizontal="left" vertical="center"/>
    </xf>
    <xf numFmtId="2" fontId="10" fillId="0" borderId="21" xfId="0" applyNumberFormat="1" applyFont="1" applyBorder="1" applyAlignment="1">
      <alignment horizontal="left"/>
    </xf>
    <xf numFmtId="2" fontId="10" fillId="0" borderId="24" xfId="0" applyNumberFormat="1" applyFont="1" applyBorder="1" applyAlignment="1">
      <alignment horizontal="left"/>
    </xf>
    <xf numFmtId="2" fontId="10" fillId="0" borderId="23" xfId="0" applyNumberFormat="1" applyFont="1" applyBorder="1" applyAlignment="1">
      <alignment horizontal="left"/>
    </xf>
    <xf numFmtId="2" fontId="10" fillId="0" borderId="25" xfId="0" applyNumberFormat="1" applyFont="1" applyBorder="1" applyAlignment="1">
      <alignment horizontal="left"/>
    </xf>
    <xf numFmtId="3" fontId="13" fillId="0" borderId="25" xfId="0" applyNumberFormat="1" applyFont="1" applyBorder="1" applyAlignment="1">
      <alignment horizontal="left"/>
    </xf>
    <xf numFmtId="3" fontId="13" fillId="0" borderId="22" xfId="0" applyNumberFormat="1" applyFont="1" applyBorder="1" applyAlignment="1">
      <alignment horizontal="left"/>
    </xf>
    <xf numFmtId="3" fontId="13" fillId="0" borderId="24" xfId="0" applyNumberFormat="1" applyFont="1" applyBorder="1" applyAlignment="1">
      <alignment horizontal="left"/>
    </xf>
    <xf numFmtId="2" fontId="10" fillId="0" borderId="21" xfId="0" applyNumberFormat="1" applyFont="1" applyFill="1" applyBorder="1" applyAlignment="1">
      <alignment horizontal="left"/>
    </xf>
    <xf numFmtId="2" fontId="10" fillId="0" borderId="22" xfId="0" applyNumberFormat="1" applyFont="1" applyFill="1" applyBorder="1" applyAlignment="1">
      <alignment horizontal="left"/>
    </xf>
    <xf numFmtId="2" fontId="10" fillId="0" borderId="24" xfId="0" applyNumberFormat="1" applyFont="1" applyFill="1" applyBorder="1" applyAlignment="1">
      <alignment horizontal="left"/>
    </xf>
    <xf numFmtId="2" fontId="10" fillId="0" borderId="21" xfId="1" applyNumberFormat="1" applyFont="1" applyBorder="1" applyAlignment="1">
      <alignment horizontal="left"/>
    </xf>
    <xf numFmtId="2" fontId="10" fillId="0" borderId="23" xfId="1" applyNumberFormat="1" applyFont="1" applyBorder="1" applyAlignment="1">
      <alignment horizontal="left"/>
    </xf>
    <xf numFmtId="2" fontId="9" fillId="0" borderId="34" xfId="0" applyNumberFormat="1" applyFont="1" applyBorder="1" applyAlignment="1">
      <alignment horizontal="left" vertical="center"/>
    </xf>
    <xf numFmtId="2" fontId="9" fillId="0" borderId="28" xfId="0" applyNumberFormat="1" applyFont="1" applyBorder="1" applyAlignment="1">
      <alignment horizontal="left" vertical="center"/>
    </xf>
    <xf numFmtId="2" fontId="9" fillId="0" borderId="35" xfId="0" applyNumberFormat="1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left" wrapText="1"/>
    </xf>
    <xf numFmtId="2" fontId="18" fillId="0" borderId="13" xfId="0" applyNumberFormat="1" applyFont="1" applyBorder="1" applyAlignment="1">
      <alignment horizontal="left"/>
    </xf>
    <xf numFmtId="2" fontId="18" fillId="0" borderId="14" xfId="0" applyNumberFormat="1" applyFont="1" applyBorder="1" applyAlignment="1">
      <alignment horizontal="left"/>
    </xf>
    <xf numFmtId="2" fontId="18" fillId="0" borderId="15" xfId="0" applyNumberFormat="1" applyFont="1" applyBorder="1" applyAlignment="1">
      <alignment horizontal="left"/>
    </xf>
    <xf numFmtId="2" fontId="9" fillId="0" borderId="13" xfId="1" applyNumberFormat="1" applyFont="1" applyBorder="1" applyAlignment="1">
      <alignment horizontal="left"/>
    </xf>
    <xf numFmtId="0" fontId="9" fillId="0" borderId="6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2" fontId="13" fillId="0" borderId="36" xfId="0" applyNumberFormat="1" applyFont="1" applyBorder="1" applyAlignment="1">
      <alignment horizontal="left"/>
    </xf>
    <xf numFmtId="2" fontId="13" fillId="0" borderId="28" xfId="0" applyNumberFormat="1" applyFont="1" applyBorder="1" applyAlignment="1">
      <alignment horizontal="left"/>
    </xf>
    <xf numFmtId="2" fontId="13" fillId="0" borderId="35" xfId="0" applyNumberFormat="1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2" fontId="9" fillId="0" borderId="29" xfId="0" applyNumberFormat="1" applyFont="1" applyBorder="1" applyAlignment="1">
      <alignment horizontal="left" vertical="center"/>
    </xf>
    <xf numFmtId="2" fontId="9" fillId="0" borderId="11" xfId="0" applyNumberFormat="1" applyFont="1" applyBorder="1" applyAlignment="1">
      <alignment horizontal="left" vertical="center"/>
    </xf>
    <xf numFmtId="2" fontId="10" fillId="0" borderId="23" xfId="0" applyNumberFormat="1" applyFont="1" applyBorder="1" applyAlignment="1">
      <alignment horizontal="left" vertical="center"/>
    </xf>
    <xf numFmtId="0" fontId="11" fillId="0" borderId="68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0" xfId="0" applyFont="1" applyBorder="1" applyAlignment="1"/>
    <xf numFmtId="0" fontId="30" fillId="0" borderId="0" xfId="0" applyFont="1" applyBorder="1" applyAlignment="1"/>
    <xf numFmtId="0" fontId="9" fillId="0" borderId="0" xfId="0" applyFont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left" vertical="center"/>
    </xf>
    <xf numFmtId="2" fontId="10" fillId="0" borderId="25" xfId="0" applyNumberFormat="1" applyFont="1" applyBorder="1" applyAlignment="1">
      <alignment horizontal="left" vertical="center"/>
    </xf>
    <xf numFmtId="0" fontId="18" fillId="0" borderId="49" xfId="0" applyFont="1" applyBorder="1" applyAlignment="1">
      <alignment horizontal="left"/>
    </xf>
    <xf numFmtId="0" fontId="18" fillId="0" borderId="46" xfId="0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10" fillId="0" borderId="42" xfId="0" applyNumberFormat="1" applyFont="1" applyBorder="1" applyAlignment="1">
      <alignment horizontal="center"/>
    </xf>
    <xf numFmtId="1" fontId="10" fillId="0" borderId="13" xfId="2" applyNumberFormat="1" applyFont="1" applyBorder="1" applyAlignment="1">
      <alignment horizontal="center"/>
    </xf>
    <xf numFmtId="1" fontId="10" fillId="0" borderId="16" xfId="1" applyNumberFormat="1" applyFont="1" applyBorder="1" applyAlignment="1">
      <alignment horizontal="center"/>
    </xf>
    <xf numFmtId="1" fontId="10" fillId="0" borderId="21" xfId="1" applyNumberFormat="1" applyFont="1" applyBorder="1" applyAlignment="1">
      <alignment horizontal="center"/>
    </xf>
    <xf numFmtId="1" fontId="9" fillId="0" borderId="7" xfId="0" applyNumberFormat="1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left" vertical="center" wrapText="1"/>
    </xf>
    <xf numFmtId="1" fontId="9" fillId="0" borderId="9" xfId="0" applyNumberFormat="1" applyFont="1" applyFill="1" applyBorder="1" applyAlignment="1">
      <alignment horizontal="left" vertical="center" wrapText="1"/>
    </xf>
    <xf numFmtId="1" fontId="9" fillId="0" borderId="30" xfId="0" applyNumberFormat="1" applyFont="1" applyFill="1" applyBorder="1" applyAlignment="1">
      <alignment horizontal="left" vertical="center" wrapText="1"/>
    </xf>
    <xf numFmtId="1" fontId="9" fillId="0" borderId="31" xfId="0" applyNumberFormat="1" applyFont="1" applyFill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1" fontId="9" fillId="0" borderId="49" xfId="0" applyNumberFormat="1" applyFont="1" applyBorder="1" applyAlignment="1">
      <alignment horizontal="left" vertical="center"/>
    </xf>
    <xf numFmtId="1" fontId="9" fillId="0" borderId="46" xfId="0" applyNumberFormat="1" applyFont="1" applyBorder="1" applyAlignment="1">
      <alignment horizontal="left" vertical="center"/>
    </xf>
    <xf numFmtId="1" fontId="9" fillId="0" borderId="63" xfId="0" applyNumberFormat="1" applyFont="1" applyBorder="1" applyAlignment="1">
      <alignment horizontal="left" vertical="center"/>
    </xf>
    <xf numFmtId="1" fontId="9" fillId="0" borderId="37" xfId="0" applyNumberFormat="1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left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left" vertical="center" wrapText="1"/>
    </xf>
    <xf numFmtId="1" fontId="9" fillId="0" borderId="29" xfId="0" applyNumberFormat="1" applyFont="1" applyFill="1" applyBorder="1" applyAlignment="1">
      <alignment horizontal="left" vertical="center" wrapText="1"/>
    </xf>
    <xf numFmtId="1" fontId="9" fillId="0" borderId="20" xfId="0" applyNumberFormat="1" applyFont="1" applyFill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justify" wrapText="1"/>
    </xf>
    <xf numFmtId="1" fontId="9" fillId="0" borderId="20" xfId="0" applyNumberFormat="1" applyFont="1" applyBorder="1" applyAlignment="1">
      <alignment horizontal="center" vertical="justify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17" fillId="0" borderId="40" xfId="0" applyNumberFormat="1" applyFont="1" applyBorder="1" applyAlignment="1">
      <alignment horizontal="center" vertical="center"/>
    </xf>
    <xf numFmtId="1" fontId="17" fillId="0" borderId="41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7" fillId="0" borderId="30" xfId="0" applyNumberFormat="1" applyFont="1" applyFill="1" applyBorder="1" applyAlignment="1">
      <alignment horizontal="center" vertical="center" wrapText="1"/>
    </xf>
    <xf numFmtId="1" fontId="17" fillId="0" borderId="31" xfId="0" applyNumberFormat="1" applyFont="1" applyFill="1" applyBorder="1" applyAlignment="1">
      <alignment horizontal="center" vertical="center" wrapText="1"/>
    </xf>
    <xf numFmtId="1" fontId="17" fillId="0" borderId="32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1" fontId="6" fillId="0" borderId="19" xfId="0" applyNumberFormat="1" applyFont="1" applyFill="1" applyBorder="1" applyAlignment="1">
      <alignment horizontal="left" vertical="center" wrapText="1"/>
    </xf>
    <xf numFmtId="1" fontId="6" fillId="0" borderId="29" xfId="0" applyNumberFormat="1" applyFont="1" applyFill="1" applyBorder="1" applyAlignment="1">
      <alignment horizontal="left" vertical="center" wrapText="1"/>
    </xf>
    <xf numFmtId="1" fontId="6" fillId="0" borderId="20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/>
    </xf>
    <xf numFmtId="1" fontId="6" fillId="0" borderId="40" xfId="0" applyNumberFormat="1" applyFont="1" applyBorder="1" applyAlignment="1">
      <alignment horizontal="left" vertical="center"/>
    </xf>
    <xf numFmtId="1" fontId="6" fillId="0" borderId="41" xfId="0" applyNumberFormat="1" applyFont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19" fillId="0" borderId="4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9" fillId="0" borderId="69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left" vertical="center" wrapText="1"/>
    </xf>
    <xf numFmtId="1" fontId="9" fillId="0" borderId="29" xfId="0" applyNumberFormat="1" applyFont="1" applyBorder="1" applyAlignment="1">
      <alignment horizontal="left" vertical="center" wrapText="1"/>
    </xf>
    <xf numFmtId="1" fontId="9" fillId="0" borderId="20" xfId="0" applyNumberFormat="1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center" vertical="center" wrapText="1"/>
    </xf>
    <xf numFmtId="1" fontId="6" fillId="0" borderId="32" xfId="0" applyNumberFormat="1" applyFont="1" applyBorder="1" applyAlignment="1">
      <alignment horizontal="center" vertical="center" wrapText="1"/>
    </xf>
    <xf numFmtId="1" fontId="6" fillId="0" borderId="68" xfId="0" applyNumberFormat="1" applyFont="1" applyFill="1" applyBorder="1" applyAlignment="1">
      <alignment horizontal="center" vertical="center" wrapText="1"/>
    </xf>
    <xf numFmtId="1" fontId="6" fillId="0" borderId="73" xfId="0" applyNumberFormat="1" applyFont="1" applyFill="1" applyBorder="1" applyAlignment="1">
      <alignment horizontal="center" vertical="center" wrapText="1"/>
    </xf>
    <xf numFmtId="1" fontId="6" fillId="0" borderId="69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1" fontId="6" fillId="0" borderId="31" xfId="0" applyNumberFormat="1" applyFont="1" applyFill="1" applyBorder="1" applyAlignment="1">
      <alignment horizontal="center" vertical="center" wrapText="1"/>
    </xf>
    <xf numFmtId="1" fontId="6" fillId="0" borderId="32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right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left"/>
    </xf>
    <xf numFmtId="1" fontId="9" fillId="0" borderId="19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29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justify" vertical="justify" wrapText="1"/>
    </xf>
    <xf numFmtId="1" fontId="8" fillId="0" borderId="13" xfId="0" applyNumberFormat="1" applyFont="1" applyBorder="1" applyAlignment="1">
      <alignment horizontal="right" wrapText="1"/>
    </xf>
    <xf numFmtId="0" fontId="31" fillId="0" borderId="13" xfId="0" applyFont="1" applyBorder="1" applyAlignment="1">
      <alignment horizontal="center"/>
    </xf>
    <xf numFmtId="1" fontId="8" fillId="0" borderId="13" xfId="1" applyNumberFormat="1" applyFont="1" applyBorder="1" applyAlignment="1">
      <alignment horizontal="right"/>
    </xf>
    <xf numFmtId="1" fontId="8" fillId="0" borderId="15" xfId="1" applyNumberFormat="1" applyFont="1" applyBorder="1" applyAlignment="1">
      <alignment horizontal="right"/>
    </xf>
    <xf numFmtId="3" fontId="31" fillId="0" borderId="13" xfId="0" applyNumberFormat="1" applyFont="1" applyBorder="1" applyAlignment="1">
      <alignment horizontal="right"/>
    </xf>
    <xf numFmtId="3" fontId="31" fillId="0" borderId="14" xfId="0" applyNumberFormat="1" applyFont="1" applyBorder="1" applyAlignment="1">
      <alignment horizontal="right"/>
    </xf>
    <xf numFmtId="0" fontId="0" fillId="0" borderId="14" xfId="0" applyBorder="1"/>
    <xf numFmtId="1" fontId="8" fillId="0" borderId="13" xfId="2" applyNumberFormat="1" applyFont="1" applyBorder="1" applyAlignment="1">
      <alignment horizontal="right"/>
    </xf>
    <xf numFmtId="1" fontId="16" fillId="0" borderId="13" xfId="0" applyNumberFormat="1" applyFont="1" applyBorder="1" applyAlignment="1">
      <alignment horizontal="right"/>
    </xf>
    <xf numFmtId="1" fontId="8" fillId="0" borderId="14" xfId="0" applyNumberFormat="1" applyFont="1" applyFill="1" applyBorder="1" applyAlignment="1">
      <alignment vertical="center"/>
    </xf>
    <xf numFmtId="3" fontId="34" fillId="0" borderId="13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13" xfId="0" applyNumberFormat="1" applyFont="1" applyBorder="1"/>
    <xf numFmtId="0" fontId="31" fillId="0" borderId="14" xfId="0" applyFont="1" applyBorder="1" applyAlignment="1">
      <alignment horizontal="center"/>
    </xf>
    <xf numFmtId="3" fontId="35" fillId="0" borderId="13" xfId="0" applyNumberFormat="1" applyFont="1" applyBorder="1" applyAlignment="1">
      <alignment horizontal="right"/>
    </xf>
    <xf numFmtId="3" fontId="35" fillId="0" borderId="14" xfId="0" applyNumberFormat="1" applyFont="1" applyBorder="1" applyAlignment="1">
      <alignment horizontal="right"/>
    </xf>
    <xf numFmtId="1" fontId="3" fillId="0" borderId="21" xfId="0" applyNumberFormat="1" applyFont="1" applyBorder="1"/>
    <xf numFmtId="1" fontId="3" fillId="0" borderId="25" xfId="0" applyNumberFormat="1" applyFont="1" applyBorder="1"/>
    <xf numFmtId="1" fontId="3" fillId="0" borderId="0" xfId="0" applyNumberFormat="1" applyFont="1" applyFill="1"/>
    <xf numFmtId="1" fontId="8" fillId="0" borderId="13" xfId="0" applyNumberFormat="1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0" fontId="31" fillId="0" borderId="66" xfId="0" applyFont="1" applyBorder="1" applyAlignment="1">
      <alignment horizontal="left"/>
    </xf>
    <xf numFmtId="0" fontId="33" fillId="0" borderId="66" xfId="0" applyFont="1" applyBorder="1" applyAlignment="1">
      <alignment horizontal="left"/>
    </xf>
    <xf numFmtId="0" fontId="34" fillId="0" borderId="66" xfId="0" applyFont="1" applyBorder="1" applyAlignment="1">
      <alignment horizontal="left"/>
    </xf>
    <xf numFmtId="0" fontId="35" fillId="0" borderId="66" xfId="0" applyFont="1" applyBorder="1" applyAlignment="1">
      <alignment horizontal="left"/>
    </xf>
    <xf numFmtId="0" fontId="31" fillId="0" borderId="76" xfId="0" applyFont="1" applyBorder="1" applyAlignment="1">
      <alignment horizontal="left"/>
    </xf>
    <xf numFmtId="1" fontId="8" fillId="0" borderId="13" xfId="0" applyNumberFormat="1" applyFont="1" applyFill="1" applyBorder="1" applyAlignment="1">
      <alignment vertical="center"/>
    </xf>
    <xf numFmtId="1" fontId="32" fillId="0" borderId="15" xfId="0" applyNumberFormat="1" applyFont="1" applyFill="1" applyBorder="1" applyAlignment="1">
      <alignment horizontal="right"/>
    </xf>
    <xf numFmtId="1" fontId="8" fillId="0" borderId="15" xfId="0" applyNumberFormat="1" applyFont="1" applyFill="1" applyBorder="1" applyAlignment="1">
      <alignment vertical="center"/>
    </xf>
    <xf numFmtId="1" fontId="3" fillId="0" borderId="15" xfId="0" applyNumberFormat="1" applyFont="1" applyFill="1" applyBorder="1"/>
    <xf numFmtId="1" fontId="3" fillId="0" borderId="24" xfId="0" applyNumberFormat="1" applyFont="1" applyFill="1" applyBorder="1"/>
    <xf numFmtId="1" fontId="8" fillId="0" borderId="13" xfId="0" applyNumberFormat="1" applyFont="1" applyFill="1" applyBorder="1" applyAlignment="1">
      <alignment horizontal="right"/>
    </xf>
    <xf numFmtId="3" fontId="31" fillId="0" borderId="15" xfId="0" applyNumberFormat="1" applyFont="1" applyBorder="1" applyAlignment="1">
      <alignment horizontal="right"/>
    </xf>
    <xf numFmtId="0" fontId="0" fillId="0" borderId="15" xfId="0" applyBorder="1"/>
    <xf numFmtId="3" fontId="34" fillId="0" borderId="15" xfId="0" applyNumberFormat="1" applyFont="1" applyBorder="1" applyAlignment="1">
      <alignment horizontal="right"/>
    </xf>
    <xf numFmtId="3" fontId="35" fillId="0" borderId="15" xfId="0" applyNumberFormat="1" applyFont="1" applyBorder="1" applyAlignment="1">
      <alignment horizontal="right"/>
    </xf>
    <xf numFmtId="0" fontId="31" fillId="0" borderId="77" xfId="0" applyFont="1" applyBorder="1" applyAlignment="1">
      <alignment horizontal="left"/>
    </xf>
    <xf numFmtId="0" fontId="7" fillId="0" borderId="22" xfId="0" applyFont="1" applyBorder="1" applyAlignment="1">
      <alignment horizontal="justify" vertical="justify" wrapText="1"/>
    </xf>
    <xf numFmtId="1" fontId="7" fillId="0" borderId="24" xfId="0" applyNumberFormat="1" applyFont="1" applyBorder="1" applyAlignment="1">
      <alignment horizontal="justify" vertical="justify" wrapText="1"/>
    </xf>
    <xf numFmtId="0" fontId="7" fillId="0" borderId="21" xfId="0" applyFont="1" applyBorder="1" applyAlignment="1">
      <alignment horizontal="justify" vertical="justify" wrapText="1"/>
    </xf>
    <xf numFmtId="0" fontId="7" fillId="0" borderId="25" xfId="0" applyFont="1" applyBorder="1" applyAlignment="1">
      <alignment horizontal="justify" vertical="justify" wrapText="1"/>
    </xf>
    <xf numFmtId="1" fontId="8" fillId="0" borderId="36" xfId="2" applyNumberFormat="1" applyFont="1" applyBorder="1" applyAlignment="1">
      <alignment horizontal="right"/>
    </xf>
    <xf numFmtId="1" fontId="8" fillId="0" borderId="36" xfId="0" applyNumberFormat="1" applyFont="1" applyBorder="1" applyAlignment="1">
      <alignment horizontal="right" wrapText="1"/>
    </xf>
    <xf numFmtId="0" fontId="31" fillId="0" borderId="36" xfId="0" applyFont="1" applyBorder="1" applyAlignment="1">
      <alignment horizontal="center"/>
    </xf>
    <xf numFmtId="1" fontId="8" fillId="0" borderId="36" xfId="0" applyNumberFormat="1" applyFont="1" applyFill="1" applyBorder="1" applyAlignment="1">
      <alignment horizontal="right"/>
    </xf>
    <xf numFmtId="1" fontId="8" fillId="0" borderId="36" xfId="1" applyNumberFormat="1" applyFont="1" applyBorder="1" applyAlignment="1">
      <alignment horizontal="right"/>
    </xf>
    <xf numFmtId="1" fontId="8" fillId="0" borderId="35" xfId="1" applyNumberFormat="1" applyFont="1" applyBorder="1" applyAlignment="1">
      <alignment horizontal="right"/>
    </xf>
    <xf numFmtId="1" fontId="6" fillId="0" borderId="36" xfId="0" applyNumberFormat="1" applyFont="1" applyBorder="1" applyAlignment="1">
      <alignment horizontal="right"/>
    </xf>
    <xf numFmtId="1" fontId="6" fillId="0" borderId="35" xfId="0" applyNumberFormat="1" applyFont="1" applyBorder="1" applyAlignment="1">
      <alignment horizontal="right"/>
    </xf>
    <xf numFmtId="1" fontId="5" fillId="0" borderId="76" xfId="0" applyNumberFormat="1" applyFont="1" applyBorder="1" applyAlignment="1">
      <alignment horizontal="justify" vertical="justify" wrapText="1"/>
    </xf>
    <xf numFmtId="1" fontId="7" fillId="0" borderId="24" xfId="0" applyNumberFormat="1" applyFont="1" applyFill="1" applyBorder="1" applyAlignment="1">
      <alignment horizontal="justify" vertical="justify" wrapText="1"/>
    </xf>
  </cellXfs>
  <cellStyles count="3">
    <cellStyle name="Comma" xfId="1" builtinId="3"/>
    <cellStyle name="Comma 18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1"/>
  <sheetViews>
    <sheetView workbookViewId="0">
      <pane xSplit="1" topLeftCell="CF1" activePane="topRight" state="frozen"/>
      <selection pane="topRight" activeCell="CU28" sqref="CU28"/>
    </sheetView>
  </sheetViews>
  <sheetFormatPr defaultRowHeight="14.25" x14ac:dyDescent="0.3"/>
  <cols>
    <col min="1" max="1" width="47.42578125" style="75" bestFit="1" customWidth="1"/>
    <col min="2" max="3" width="11.42578125" style="75" bestFit="1" customWidth="1"/>
    <col min="4" max="4" width="12.42578125" style="75" bestFit="1" customWidth="1"/>
    <col min="5" max="5" width="13.28515625" style="75" bestFit="1" customWidth="1"/>
    <col min="6" max="7" width="11.42578125" style="75" bestFit="1" customWidth="1"/>
    <col min="8" max="8" width="12.42578125" style="75" bestFit="1" customWidth="1"/>
    <col min="9" max="9" width="13.28515625" style="75" bestFit="1" customWidth="1"/>
    <col min="10" max="11" width="11.42578125" style="75" bestFit="1" customWidth="1"/>
    <col min="12" max="12" width="12.42578125" style="75" bestFit="1" customWidth="1"/>
    <col min="13" max="13" width="13.28515625" style="75" bestFit="1" customWidth="1"/>
    <col min="14" max="15" width="11.42578125" style="75" bestFit="1" customWidth="1"/>
    <col min="16" max="16" width="12.42578125" style="75" bestFit="1" customWidth="1"/>
    <col min="17" max="17" width="13.28515625" style="75" bestFit="1" customWidth="1"/>
    <col min="18" max="19" width="11.42578125" style="75" bestFit="1" customWidth="1"/>
    <col min="20" max="20" width="12.42578125" style="75" bestFit="1" customWidth="1"/>
    <col min="21" max="21" width="13.28515625" style="75" bestFit="1" customWidth="1"/>
    <col min="22" max="23" width="11.42578125" style="75" bestFit="1" customWidth="1"/>
    <col min="24" max="24" width="12.42578125" style="75" bestFit="1" customWidth="1"/>
    <col min="25" max="25" width="13.28515625" style="75" bestFit="1" customWidth="1"/>
    <col min="26" max="27" width="11.42578125" style="75" bestFit="1" customWidth="1"/>
    <col min="28" max="28" width="12.42578125" style="75" bestFit="1" customWidth="1"/>
    <col min="29" max="29" width="13.28515625" style="75" bestFit="1" customWidth="1"/>
    <col min="30" max="31" width="11.42578125" style="75" bestFit="1" customWidth="1"/>
    <col min="32" max="32" width="12.42578125" style="75" bestFit="1" customWidth="1"/>
    <col min="33" max="33" width="13.28515625" style="75" bestFit="1" customWidth="1"/>
    <col min="34" max="35" width="11.42578125" style="75" bestFit="1" customWidth="1"/>
    <col min="36" max="36" width="12.42578125" style="75" bestFit="1" customWidth="1"/>
    <col min="37" max="37" width="13.28515625" style="75" bestFit="1" customWidth="1"/>
    <col min="38" max="39" width="11.42578125" style="75" bestFit="1" customWidth="1"/>
    <col min="40" max="40" width="12.42578125" style="75" bestFit="1" customWidth="1"/>
    <col min="41" max="41" width="13.28515625" style="75" bestFit="1" customWidth="1"/>
    <col min="42" max="43" width="11.42578125" style="75" bestFit="1" customWidth="1"/>
    <col min="44" max="44" width="12.42578125" style="75" bestFit="1" customWidth="1"/>
    <col min="45" max="45" width="13.28515625" style="75" bestFit="1" customWidth="1"/>
    <col min="46" max="47" width="11.42578125" style="75" bestFit="1" customWidth="1"/>
    <col min="48" max="48" width="12.42578125" style="75" bestFit="1" customWidth="1"/>
    <col min="49" max="49" width="13.28515625" style="75" bestFit="1" customWidth="1"/>
    <col min="50" max="51" width="11.42578125" style="75" bestFit="1" customWidth="1"/>
    <col min="52" max="52" width="12.42578125" style="75" bestFit="1" customWidth="1"/>
    <col min="53" max="53" width="13.28515625" style="75" bestFit="1" customWidth="1"/>
    <col min="54" max="55" width="11.42578125" style="75" bestFit="1" customWidth="1"/>
    <col min="56" max="56" width="12.42578125" style="75" bestFit="1" customWidth="1"/>
    <col min="57" max="57" width="13.28515625" style="75" bestFit="1" customWidth="1"/>
    <col min="58" max="59" width="11.42578125" style="75" bestFit="1" customWidth="1"/>
    <col min="60" max="60" width="12.42578125" style="75" bestFit="1" customWidth="1"/>
    <col min="61" max="61" width="13.28515625" style="75" bestFit="1" customWidth="1"/>
    <col min="62" max="63" width="11.42578125" style="75" bestFit="1" customWidth="1"/>
    <col min="64" max="64" width="12.42578125" style="75" bestFit="1" customWidth="1"/>
    <col min="65" max="65" width="13.28515625" style="75" bestFit="1" customWidth="1"/>
    <col min="66" max="67" width="11.42578125" style="75" bestFit="1" customWidth="1"/>
    <col min="68" max="68" width="12.42578125" style="75" bestFit="1" customWidth="1"/>
    <col min="69" max="69" width="13.28515625" style="75" bestFit="1" customWidth="1"/>
    <col min="70" max="71" width="11.42578125" style="75" bestFit="1" customWidth="1"/>
    <col min="72" max="72" width="12.42578125" style="75" bestFit="1" customWidth="1"/>
    <col min="73" max="73" width="13.28515625" style="75" bestFit="1" customWidth="1"/>
    <col min="74" max="75" width="11.42578125" style="75" bestFit="1" customWidth="1"/>
    <col min="76" max="76" width="12.42578125" style="75" bestFit="1" customWidth="1"/>
    <col min="77" max="77" width="13.28515625" style="75" bestFit="1" customWidth="1"/>
    <col min="78" max="79" width="11.42578125" style="841" customWidth="1"/>
    <col min="80" max="80" width="12.42578125" style="841" bestFit="1" customWidth="1"/>
    <col min="81" max="81" width="13.28515625" style="841" bestFit="1" customWidth="1"/>
    <col min="82" max="83" width="11.42578125" style="75" bestFit="1" customWidth="1"/>
    <col min="84" max="84" width="12.42578125" style="75" bestFit="1" customWidth="1"/>
    <col min="85" max="85" width="13.28515625" style="75" bestFit="1" customWidth="1"/>
    <col min="86" max="87" width="11.42578125" style="75" bestFit="1" customWidth="1"/>
    <col min="88" max="88" width="12.42578125" style="75" bestFit="1" customWidth="1"/>
    <col min="89" max="89" width="13.28515625" style="75" bestFit="1" customWidth="1"/>
    <col min="90" max="91" width="11.42578125" style="75" bestFit="1" customWidth="1"/>
    <col min="92" max="92" width="12.42578125" style="75" bestFit="1" customWidth="1"/>
    <col min="93" max="93" width="13.28515625" style="75" bestFit="1" customWidth="1"/>
    <col min="94" max="95" width="11.42578125" style="75" bestFit="1" customWidth="1"/>
    <col min="96" max="96" width="12.42578125" style="75" bestFit="1" customWidth="1"/>
    <col min="97" max="97" width="13.28515625" style="75" bestFit="1" customWidth="1"/>
    <col min="98" max="99" width="11.42578125" style="75" bestFit="1" customWidth="1"/>
    <col min="100" max="100" width="12.42578125" style="75" bestFit="1" customWidth="1"/>
    <col min="101" max="101" width="13.28515625" style="75" bestFit="1" customWidth="1"/>
    <col min="102" max="103" width="11.42578125" style="75" bestFit="1" customWidth="1"/>
    <col min="104" max="104" width="12.42578125" style="75" bestFit="1" customWidth="1"/>
    <col min="105" max="105" width="13.28515625" style="75" bestFit="1" customWidth="1"/>
    <col min="106" max="16384" width="9.140625" style="75"/>
  </cols>
  <sheetData>
    <row r="1" spans="1:105" x14ac:dyDescent="0.3">
      <c r="A1" s="1343" t="s">
        <v>249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3"/>
      <c r="T1" s="1343"/>
      <c r="U1" s="1343"/>
      <c r="V1" s="1343"/>
      <c r="W1" s="1343"/>
      <c r="X1" s="1343"/>
      <c r="Y1" s="1343"/>
      <c r="Z1" s="1343"/>
      <c r="AA1" s="1343"/>
      <c r="AB1" s="1343"/>
      <c r="AC1" s="1343"/>
      <c r="AD1" s="1343"/>
      <c r="AE1" s="1343"/>
      <c r="AF1" s="1343"/>
      <c r="AG1" s="1343"/>
      <c r="AH1" s="1343"/>
      <c r="AI1" s="1343"/>
      <c r="AJ1" s="1343"/>
      <c r="AK1" s="1343"/>
      <c r="AL1" s="1343"/>
      <c r="AM1" s="1343"/>
      <c r="AN1" s="1343"/>
      <c r="AO1" s="1343"/>
      <c r="AP1" s="1343"/>
      <c r="AQ1" s="1343"/>
      <c r="AR1" s="1343"/>
      <c r="AS1" s="1343"/>
      <c r="AT1" s="1343"/>
      <c r="AU1" s="1343"/>
      <c r="AV1" s="1343"/>
      <c r="AW1" s="1343"/>
      <c r="AX1" s="1343"/>
      <c r="AY1" s="1343"/>
      <c r="AZ1" s="1343"/>
      <c r="BA1" s="1343"/>
      <c r="BB1" s="1343"/>
      <c r="BC1" s="1343"/>
      <c r="BD1" s="1343"/>
      <c r="BE1" s="1343"/>
      <c r="BF1" s="1343"/>
      <c r="BG1" s="1343"/>
      <c r="BH1" s="1343"/>
      <c r="BI1" s="1343"/>
      <c r="BJ1" s="1343"/>
      <c r="BK1" s="1343"/>
      <c r="BL1" s="1343"/>
      <c r="BM1" s="1343"/>
      <c r="BN1" s="1343"/>
      <c r="BO1" s="1343"/>
      <c r="BP1" s="1343"/>
      <c r="BQ1" s="1343"/>
      <c r="BR1" s="1343"/>
      <c r="BS1" s="1343"/>
      <c r="BT1" s="1343"/>
      <c r="BU1" s="1343"/>
      <c r="BV1" s="1343"/>
      <c r="BW1" s="1343"/>
      <c r="BX1" s="1343"/>
      <c r="BY1" s="1343"/>
      <c r="BZ1" s="1343"/>
      <c r="CA1" s="1343"/>
      <c r="CB1" s="1343"/>
      <c r="CC1" s="1343"/>
      <c r="CD1" s="1343"/>
      <c r="CE1" s="1343"/>
      <c r="CF1" s="1343"/>
      <c r="CG1" s="1343"/>
      <c r="CH1" s="1343"/>
      <c r="CI1" s="1343"/>
      <c r="CJ1" s="1343"/>
      <c r="CK1" s="1343"/>
      <c r="CL1" s="1343"/>
      <c r="CM1" s="1343"/>
      <c r="CN1" s="1343"/>
      <c r="CO1" s="1343"/>
      <c r="CP1" s="1343"/>
      <c r="CQ1" s="1343"/>
      <c r="CR1" s="1343"/>
      <c r="CS1" s="1343"/>
      <c r="CT1" s="1343"/>
      <c r="CU1" s="1343"/>
      <c r="CV1" s="1343"/>
      <c r="CW1" s="1343"/>
      <c r="CX1" s="1343"/>
      <c r="CY1" s="1343"/>
    </row>
    <row r="2" spans="1:105" ht="15" thickBot="1" x14ac:dyDescent="0.35">
      <c r="A2" s="1344" t="s">
        <v>250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4"/>
      <c r="Z2" s="1344"/>
      <c r="AA2" s="1344"/>
      <c r="AB2" s="1344"/>
      <c r="AC2" s="1344"/>
      <c r="AD2" s="1344"/>
      <c r="AE2" s="1344"/>
      <c r="AF2" s="1344"/>
      <c r="AG2" s="1344"/>
      <c r="AH2" s="1344"/>
      <c r="AI2" s="1344"/>
      <c r="AJ2" s="1344"/>
      <c r="AK2" s="1344"/>
      <c r="AL2" s="1344"/>
      <c r="AM2" s="1344"/>
      <c r="AN2" s="1344"/>
      <c r="AO2" s="1344"/>
      <c r="AP2" s="1344"/>
      <c r="AQ2" s="1344"/>
      <c r="AR2" s="1344"/>
      <c r="AS2" s="1344"/>
      <c r="AT2" s="1344"/>
      <c r="AU2" s="1344"/>
      <c r="AV2" s="1344"/>
      <c r="AW2" s="1344"/>
      <c r="AX2" s="1344"/>
      <c r="AY2" s="1344"/>
      <c r="AZ2" s="1344"/>
      <c r="BA2" s="1344"/>
      <c r="BB2" s="1344"/>
      <c r="BC2" s="1344"/>
      <c r="BD2" s="1344"/>
      <c r="BE2" s="1344"/>
      <c r="BF2" s="1344"/>
      <c r="BG2" s="1344"/>
      <c r="BH2" s="1344"/>
      <c r="BI2" s="1344"/>
      <c r="BJ2" s="1344"/>
      <c r="BK2" s="1344"/>
      <c r="BL2" s="1344"/>
      <c r="BM2" s="1344"/>
      <c r="BN2" s="1344"/>
      <c r="BO2" s="1344"/>
      <c r="BP2" s="1344"/>
      <c r="BQ2" s="1344"/>
      <c r="BR2" s="1344"/>
      <c r="BS2" s="1344"/>
      <c r="BT2" s="1344"/>
      <c r="BU2" s="1344"/>
      <c r="BV2" s="1344"/>
      <c r="BW2" s="1344"/>
      <c r="BX2" s="1344"/>
      <c r="BY2" s="1344"/>
      <c r="BZ2" s="1344"/>
      <c r="CA2" s="1344"/>
      <c r="CB2" s="1344"/>
      <c r="CC2" s="1344"/>
      <c r="CD2" s="1344"/>
      <c r="CE2" s="1344"/>
      <c r="CF2" s="1344"/>
      <c r="CG2" s="1344"/>
      <c r="CH2" s="1344"/>
      <c r="CI2" s="1344"/>
      <c r="CJ2" s="1344"/>
      <c r="CK2" s="1344"/>
      <c r="CL2" s="1344"/>
      <c r="CM2" s="1344"/>
      <c r="CN2" s="1344"/>
      <c r="CO2" s="1344"/>
      <c r="CP2" s="1344"/>
      <c r="CQ2" s="1344"/>
      <c r="CR2" s="1344"/>
      <c r="CS2" s="1344"/>
      <c r="CT2" s="1344"/>
      <c r="CU2" s="1344"/>
      <c r="CV2" s="1344"/>
      <c r="CW2" s="1344"/>
      <c r="CX2" s="1344"/>
      <c r="CY2" s="1344"/>
    </row>
    <row r="3" spans="1:105" ht="38.25" customHeight="1" thickBot="1" x14ac:dyDescent="0.35">
      <c r="A3" s="1345" t="s">
        <v>1</v>
      </c>
      <c r="B3" s="1347" t="s">
        <v>258</v>
      </c>
      <c r="C3" s="1347"/>
      <c r="D3" s="1347"/>
      <c r="E3" s="1348"/>
      <c r="F3" s="1339" t="s">
        <v>259</v>
      </c>
      <c r="G3" s="1340"/>
      <c r="H3" s="1340"/>
      <c r="I3" s="1349"/>
      <c r="J3" s="1339" t="s">
        <v>260</v>
      </c>
      <c r="K3" s="1340"/>
      <c r="L3" s="1340"/>
      <c r="M3" s="1340"/>
      <c r="N3" s="1353" t="s">
        <v>261</v>
      </c>
      <c r="O3" s="1354"/>
      <c r="P3" s="1354"/>
      <c r="Q3" s="1355"/>
      <c r="R3" s="1340" t="s">
        <v>262</v>
      </c>
      <c r="S3" s="1340"/>
      <c r="T3" s="1340"/>
      <c r="U3" s="1340"/>
      <c r="V3" s="1339" t="s">
        <v>263</v>
      </c>
      <c r="W3" s="1340"/>
      <c r="X3" s="1340"/>
      <c r="Y3" s="1340"/>
      <c r="Z3" s="1339" t="s">
        <v>264</v>
      </c>
      <c r="AA3" s="1340"/>
      <c r="AB3" s="1340"/>
      <c r="AC3" s="1340"/>
      <c r="AD3" s="1339" t="s">
        <v>265</v>
      </c>
      <c r="AE3" s="1340"/>
      <c r="AF3" s="1340"/>
      <c r="AG3" s="1340"/>
      <c r="AH3" s="1339" t="s">
        <v>266</v>
      </c>
      <c r="AI3" s="1340"/>
      <c r="AJ3" s="1340"/>
      <c r="AK3" s="1340"/>
      <c r="AL3" s="1339" t="s">
        <v>267</v>
      </c>
      <c r="AM3" s="1340"/>
      <c r="AN3" s="1340"/>
      <c r="AO3" s="1340"/>
      <c r="AP3" s="1339" t="s">
        <v>268</v>
      </c>
      <c r="AQ3" s="1340"/>
      <c r="AR3" s="1340"/>
      <c r="AS3" s="1340"/>
      <c r="AT3" s="1339" t="s">
        <v>269</v>
      </c>
      <c r="AU3" s="1340"/>
      <c r="AV3" s="1340"/>
      <c r="AW3" s="1340"/>
      <c r="AX3" s="1339" t="s">
        <v>270</v>
      </c>
      <c r="AY3" s="1340"/>
      <c r="AZ3" s="1340"/>
      <c r="BA3" s="1340"/>
      <c r="BB3" s="1339" t="s">
        <v>271</v>
      </c>
      <c r="BC3" s="1340"/>
      <c r="BD3" s="1340"/>
      <c r="BE3" s="1340"/>
      <c r="BF3" s="1341" t="s">
        <v>272</v>
      </c>
      <c r="BG3" s="1342"/>
      <c r="BH3" s="1342"/>
      <c r="BI3" s="1342"/>
      <c r="BJ3" s="1339" t="s">
        <v>273</v>
      </c>
      <c r="BK3" s="1340"/>
      <c r="BL3" s="1340"/>
      <c r="BM3" s="1340"/>
      <c r="BN3" s="1339" t="s">
        <v>274</v>
      </c>
      <c r="BO3" s="1340"/>
      <c r="BP3" s="1340"/>
      <c r="BQ3" s="1340"/>
      <c r="BR3" s="1339" t="s">
        <v>275</v>
      </c>
      <c r="BS3" s="1340"/>
      <c r="BT3" s="1340"/>
      <c r="BU3" s="1340"/>
      <c r="BV3" s="1337" t="s">
        <v>276</v>
      </c>
      <c r="BW3" s="1338"/>
      <c r="BX3" s="1338"/>
      <c r="BY3" s="1338"/>
      <c r="BZ3" s="1356" t="s">
        <v>277</v>
      </c>
      <c r="CA3" s="1357"/>
      <c r="CB3" s="1357"/>
      <c r="CC3" s="1358"/>
      <c r="CD3" s="1340" t="s">
        <v>278</v>
      </c>
      <c r="CE3" s="1340"/>
      <c r="CF3" s="1340"/>
      <c r="CG3" s="1349"/>
      <c r="CH3" s="1340" t="s">
        <v>279</v>
      </c>
      <c r="CI3" s="1340"/>
      <c r="CJ3" s="1340"/>
      <c r="CK3" s="1349"/>
      <c r="CL3" s="1340" t="s">
        <v>280</v>
      </c>
      <c r="CM3" s="1340"/>
      <c r="CN3" s="1340"/>
      <c r="CO3" s="1349"/>
      <c r="CP3" s="1359" t="s">
        <v>2</v>
      </c>
      <c r="CQ3" s="1359"/>
      <c r="CR3" s="1359"/>
      <c r="CS3" s="1360"/>
      <c r="CT3" s="1334" t="s">
        <v>281</v>
      </c>
      <c r="CU3" s="1335"/>
      <c r="CV3" s="1335"/>
      <c r="CW3" s="1336"/>
      <c r="CX3" s="1350" t="s">
        <v>3</v>
      </c>
      <c r="CY3" s="1351"/>
      <c r="CZ3" s="1351"/>
      <c r="DA3" s="1352"/>
    </row>
    <row r="4" spans="1:105" ht="15" customHeight="1" x14ac:dyDescent="0.3">
      <c r="A4" s="1346"/>
      <c r="B4" s="24" t="s">
        <v>4</v>
      </c>
      <c r="C4" s="24" t="s">
        <v>5</v>
      </c>
      <c r="D4" s="24" t="s">
        <v>6</v>
      </c>
      <c r="E4" s="24" t="s">
        <v>7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4</v>
      </c>
      <c r="K4" s="24" t="s">
        <v>5</v>
      </c>
      <c r="L4" s="24" t="s">
        <v>6</v>
      </c>
      <c r="M4" s="24" t="s">
        <v>7</v>
      </c>
      <c r="N4" s="24" t="s">
        <v>4</v>
      </c>
      <c r="O4" s="24" t="s">
        <v>5</v>
      </c>
      <c r="P4" s="24" t="s">
        <v>6</v>
      </c>
      <c r="Q4" s="24" t="s">
        <v>7</v>
      </c>
      <c r="R4" s="24" t="s">
        <v>4</v>
      </c>
      <c r="S4" s="24" t="s">
        <v>5</v>
      </c>
      <c r="T4" s="24" t="s">
        <v>6</v>
      </c>
      <c r="U4" s="24" t="s">
        <v>7</v>
      </c>
      <c r="V4" s="24" t="s">
        <v>4</v>
      </c>
      <c r="W4" s="24" t="s">
        <v>5</v>
      </c>
      <c r="X4" s="24" t="s">
        <v>6</v>
      </c>
      <c r="Y4" s="24" t="s">
        <v>7</v>
      </c>
      <c r="Z4" s="24" t="s">
        <v>4</v>
      </c>
      <c r="AA4" s="24" t="s">
        <v>5</v>
      </c>
      <c r="AB4" s="24" t="s">
        <v>6</v>
      </c>
      <c r="AC4" s="24" t="s">
        <v>7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4</v>
      </c>
      <c r="AI4" s="24" t="s">
        <v>5</v>
      </c>
      <c r="AJ4" s="24" t="s">
        <v>6</v>
      </c>
      <c r="AK4" s="24" t="s">
        <v>7</v>
      </c>
      <c r="AL4" s="24" t="s">
        <v>4</v>
      </c>
      <c r="AM4" s="24" t="s">
        <v>5</v>
      </c>
      <c r="AN4" s="24" t="s">
        <v>6</v>
      </c>
      <c r="AO4" s="24" t="s">
        <v>7</v>
      </c>
      <c r="AP4" s="24" t="s">
        <v>4</v>
      </c>
      <c r="AQ4" s="24" t="s">
        <v>5</v>
      </c>
      <c r="AR4" s="24" t="s">
        <v>6</v>
      </c>
      <c r="AS4" s="24" t="s">
        <v>7</v>
      </c>
      <c r="AT4" s="24" t="s">
        <v>4</v>
      </c>
      <c r="AU4" s="24" t="s">
        <v>5</v>
      </c>
      <c r="AV4" s="24" t="s">
        <v>6</v>
      </c>
      <c r="AW4" s="24" t="s">
        <v>7</v>
      </c>
      <c r="AX4" s="24" t="s">
        <v>4</v>
      </c>
      <c r="AY4" s="24" t="s">
        <v>5</v>
      </c>
      <c r="AZ4" s="24" t="s">
        <v>6</v>
      </c>
      <c r="BA4" s="24" t="s">
        <v>7</v>
      </c>
      <c r="BB4" s="24" t="s">
        <v>4</v>
      </c>
      <c r="BC4" s="24" t="s">
        <v>5</v>
      </c>
      <c r="BD4" s="24" t="s">
        <v>6</v>
      </c>
      <c r="BE4" s="24" t="s">
        <v>7</v>
      </c>
      <c r="BF4" s="24" t="s">
        <v>4</v>
      </c>
      <c r="BG4" s="24" t="s">
        <v>5</v>
      </c>
      <c r="BH4" s="24" t="s">
        <v>6</v>
      </c>
      <c r="BI4" s="24" t="s">
        <v>7</v>
      </c>
      <c r="BJ4" s="24" t="s">
        <v>4</v>
      </c>
      <c r="BK4" s="24" t="s">
        <v>5</v>
      </c>
      <c r="BL4" s="24" t="s">
        <v>6</v>
      </c>
      <c r="BM4" s="24" t="s">
        <v>7</v>
      </c>
      <c r="BN4" s="24" t="s">
        <v>4</v>
      </c>
      <c r="BO4" s="24" t="s">
        <v>5</v>
      </c>
      <c r="BP4" s="24" t="s">
        <v>6</v>
      </c>
      <c r="BQ4" s="24" t="s">
        <v>7</v>
      </c>
      <c r="BR4" s="24" t="s">
        <v>4</v>
      </c>
      <c r="BS4" s="24" t="s">
        <v>5</v>
      </c>
      <c r="BT4" s="24" t="s">
        <v>6</v>
      </c>
      <c r="BU4" s="24" t="s">
        <v>7</v>
      </c>
      <c r="BV4" s="24" t="s">
        <v>4</v>
      </c>
      <c r="BW4" s="24" t="s">
        <v>5</v>
      </c>
      <c r="BX4" s="24" t="s">
        <v>6</v>
      </c>
      <c r="BY4" s="24" t="s">
        <v>7</v>
      </c>
      <c r="BZ4" s="26" t="s">
        <v>4</v>
      </c>
      <c r="CA4" s="27" t="s">
        <v>5</v>
      </c>
      <c r="CB4" s="27" t="s">
        <v>6</v>
      </c>
      <c r="CC4" s="29" t="s">
        <v>7</v>
      </c>
      <c r="CD4" s="1094" t="s">
        <v>4</v>
      </c>
      <c r="CE4" s="1094" t="s">
        <v>5</v>
      </c>
      <c r="CF4" s="1094" t="s">
        <v>6</v>
      </c>
      <c r="CG4" s="1095" t="s">
        <v>7</v>
      </c>
      <c r="CH4" s="1094" t="s">
        <v>4</v>
      </c>
      <c r="CI4" s="1094" t="s">
        <v>5</v>
      </c>
      <c r="CJ4" s="1094" t="s">
        <v>6</v>
      </c>
      <c r="CK4" s="1095" t="s">
        <v>7</v>
      </c>
      <c r="CL4" s="1094" t="s">
        <v>4</v>
      </c>
      <c r="CM4" s="1094" t="s">
        <v>5</v>
      </c>
      <c r="CN4" s="1094" t="s">
        <v>6</v>
      </c>
      <c r="CO4" s="1095" t="s">
        <v>7</v>
      </c>
      <c r="CP4" s="1094" t="s">
        <v>4</v>
      </c>
      <c r="CQ4" s="1094" t="s">
        <v>5</v>
      </c>
      <c r="CR4" s="1094" t="s">
        <v>6</v>
      </c>
      <c r="CS4" s="1095" t="s">
        <v>7</v>
      </c>
      <c r="CT4" s="1097" t="s">
        <v>4</v>
      </c>
      <c r="CU4" s="1098" t="s">
        <v>5</v>
      </c>
      <c r="CV4" s="1098" t="s">
        <v>6</v>
      </c>
      <c r="CW4" s="1099" t="s">
        <v>7</v>
      </c>
      <c r="CX4" s="168" t="s">
        <v>4</v>
      </c>
      <c r="CY4" s="1094" t="s">
        <v>5</v>
      </c>
      <c r="CZ4" s="1094" t="s">
        <v>6</v>
      </c>
      <c r="DA4" s="1095" t="s">
        <v>7</v>
      </c>
    </row>
    <row r="5" spans="1:105" x14ac:dyDescent="0.3">
      <c r="A5" s="1086" t="s">
        <v>156</v>
      </c>
      <c r="B5" s="37">
        <v>556262</v>
      </c>
      <c r="C5" s="34">
        <v>1074994</v>
      </c>
      <c r="D5" s="813">
        <v>1419699</v>
      </c>
      <c r="E5" s="813">
        <v>2228821</v>
      </c>
      <c r="F5" s="35"/>
      <c r="G5" s="33"/>
      <c r="H5" s="33"/>
      <c r="I5" s="38"/>
      <c r="J5" s="35"/>
      <c r="K5" s="33"/>
      <c r="L5" s="33"/>
      <c r="M5" s="34"/>
      <c r="N5" s="35">
        <v>755283</v>
      </c>
      <c r="O5" s="33">
        <v>610819</v>
      </c>
      <c r="P5" s="33">
        <v>1461130</v>
      </c>
      <c r="Q5" s="38">
        <v>1525990</v>
      </c>
      <c r="R5" s="37">
        <v>-241116</v>
      </c>
      <c r="S5" s="33">
        <v>-348891</v>
      </c>
      <c r="T5" s="33">
        <v>-649249</v>
      </c>
      <c r="U5" s="34">
        <v>-788362</v>
      </c>
      <c r="V5" s="35"/>
      <c r="W5" s="33"/>
      <c r="X5" s="33"/>
      <c r="Y5" s="34"/>
      <c r="Z5" s="35">
        <v>683050</v>
      </c>
      <c r="AA5" s="33">
        <v>975314</v>
      </c>
      <c r="AB5" s="33">
        <v>2886917</v>
      </c>
      <c r="AC5" s="34">
        <v>2553003</v>
      </c>
      <c r="AD5" s="35">
        <v>-4962</v>
      </c>
      <c r="AE5" s="33"/>
      <c r="AF5" s="33">
        <v>78614</v>
      </c>
      <c r="AG5" s="34"/>
      <c r="AH5" s="35"/>
      <c r="AI5" s="33"/>
      <c r="AJ5" s="33"/>
      <c r="AK5" s="34"/>
      <c r="AL5" s="35"/>
      <c r="AM5" s="33"/>
      <c r="AN5" s="33"/>
      <c r="AO5" s="34"/>
      <c r="AP5" s="35">
        <v>1769155</v>
      </c>
      <c r="AQ5" s="33">
        <v>1498884</v>
      </c>
      <c r="AR5" s="33">
        <v>7309595</v>
      </c>
      <c r="AS5" s="34">
        <v>6056871</v>
      </c>
      <c r="AT5" s="35">
        <v>2661768</v>
      </c>
      <c r="AU5" s="33">
        <v>2741558</v>
      </c>
      <c r="AV5" s="33">
        <v>6604695</v>
      </c>
      <c r="AW5" s="34">
        <v>8925530</v>
      </c>
      <c r="AX5" s="35"/>
      <c r="AY5" s="33"/>
      <c r="AZ5" s="33"/>
      <c r="BA5" s="34"/>
      <c r="BB5" s="35">
        <v>156883</v>
      </c>
      <c r="BC5" s="33">
        <v>115712</v>
      </c>
      <c r="BD5" s="33">
        <v>303954</v>
      </c>
      <c r="BE5" s="34">
        <v>183046</v>
      </c>
      <c r="BF5" s="35"/>
      <c r="BG5" s="33"/>
      <c r="BH5" s="33"/>
      <c r="BI5" s="34"/>
      <c r="BJ5" s="35">
        <v>586395</v>
      </c>
      <c r="BK5" s="33">
        <v>763712</v>
      </c>
      <c r="BL5" s="33">
        <v>2304645</v>
      </c>
      <c r="BM5" s="34">
        <v>2162827</v>
      </c>
      <c r="BN5" s="35">
        <v>135854</v>
      </c>
      <c r="BO5" s="33">
        <v>294277</v>
      </c>
      <c r="BP5" s="33">
        <v>593894</v>
      </c>
      <c r="BQ5" s="34">
        <v>998253</v>
      </c>
      <c r="BR5" s="35"/>
      <c r="BS5" s="33"/>
      <c r="BT5" s="33"/>
      <c r="BU5" s="34"/>
      <c r="BV5" s="35"/>
      <c r="BW5" s="33"/>
      <c r="BX5" s="33"/>
      <c r="BY5" s="34"/>
      <c r="BZ5" s="1109">
        <v>1646700</v>
      </c>
      <c r="CA5" s="1103">
        <v>1258545</v>
      </c>
      <c r="CB5" s="1103">
        <v>5474253</v>
      </c>
      <c r="CC5" s="1110">
        <v>4735889</v>
      </c>
      <c r="CD5" s="37"/>
      <c r="CE5" s="33"/>
      <c r="CF5" s="33"/>
      <c r="CG5" s="38"/>
      <c r="CH5" s="37">
        <v>269642</v>
      </c>
      <c r="CI5" s="33">
        <v>139727</v>
      </c>
      <c r="CJ5" s="33">
        <v>556966</v>
      </c>
      <c r="CK5" s="38">
        <v>146949</v>
      </c>
      <c r="CL5" s="37"/>
      <c r="CM5" s="33"/>
      <c r="CN5" s="33">
        <v>133312</v>
      </c>
      <c r="CO5" s="38">
        <v>364414</v>
      </c>
      <c r="CP5" s="37">
        <f>SUM(B5+F5+J5+N5+R5+V5+Z5+AD5+AH5+AL5+AP5+AT5+AX5+BB5+BF5+BJ5+BN5+BR5+BV5+BZ5+CD5+CH5+CL5)</f>
        <v>8974914</v>
      </c>
      <c r="CQ5" s="35">
        <f t="shared" ref="CQ5:CS20" si="0">SUM(C5+G5+K5+O5+S5+W5+AA5+AE5+AI5+AM5+AQ5+AU5+AY5+BC5+BG5+BK5+BO5+BS5+BW5+CA5+CE5+CI5+CM5)</f>
        <v>9124651</v>
      </c>
      <c r="CR5" s="35">
        <f t="shared" si="0"/>
        <v>28478425</v>
      </c>
      <c r="CS5" s="1096">
        <f t="shared" si="0"/>
        <v>29093231</v>
      </c>
      <c r="CT5" s="35"/>
      <c r="CU5" s="33"/>
      <c r="CV5" s="33"/>
      <c r="CW5" s="38"/>
      <c r="CX5" s="35">
        <f>CP5+CT5</f>
        <v>8974914</v>
      </c>
      <c r="CY5" s="35">
        <f t="shared" ref="CY5:DA20" si="1">CQ5+CU5</f>
        <v>9124651</v>
      </c>
      <c r="CZ5" s="35">
        <f t="shared" si="1"/>
        <v>28478425</v>
      </c>
      <c r="DA5" s="1096">
        <f t="shared" si="1"/>
        <v>29093231</v>
      </c>
    </row>
    <row r="6" spans="1:105" x14ac:dyDescent="0.3">
      <c r="A6" s="1087" t="s">
        <v>157</v>
      </c>
      <c r="B6" s="1085"/>
      <c r="C6" s="814"/>
      <c r="D6" s="815"/>
      <c r="E6" s="815"/>
      <c r="F6" s="45"/>
      <c r="G6" s="43"/>
      <c r="H6" s="43"/>
      <c r="I6" s="48"/>
      <c r="J6" s="45"/>
      <c r="K6" s="43"/>
      <c r="L6" s="43"/>
      <c r="M6" s="44"/>
      <c r="N6" s="45"/>
      <c r="O6" s="43"/>
      <c r="P6" s="43"/>
      <c r="Q6" s="48"/>
      <c r="R6" s="47"/>
      <c r="S6" s="43"/>
      <c r="T6" s="43"/>
      <c r="U6" s="44"/>
      <c r="V6" s="45"/>
      <c r="W6" s="43"/>
      <c r="X6" s="43"/>
      <c r="Y6" s="44"/>
      <c r="Z6" s="45"/>
      <c r="AA6" s="43"/>
      <c r="AB6" s="43"/>
      <c r="AC6" s="44"/>
      <c r="AD6" s="45"/>
      <c r="AE6" s="43"/>
      <c r="AF6" s="43"/>
      <c r="AG6" s="44"/>
      <c r="AH6" s="45"/>
      <c r="AI6" s="43"/>
      <c r="AJ6" s="43"/>
      <c r="AK6" s="44"/>
      <c r="AL6" s="45"/>
      <c r="AM6" s="43"/>
      <c r="AN6" s="43"/>
      <c r="AO6" s="44"/>
      <c r="AP6" s="45"/>
      <c r="AQ6" s="43"/>
      <c r="AR6" s="43"/>
      <c r="AS6" s="44"/>
      <c r="AT6" s="45"/>
      <c r="AU6" s="43"/>
      <c r="AV6" s="43"/>
      <c r="AW6" s="44"/>
      <c r="AY6" s="51"/>
      <c r="AZ6" s="51"/>
      <c r="BA6" s="816"/>
      <c r="BB6" s="45"/>
      <c r="BC6" s="43"/>
      <c r="BD6" s="43"/>
      <c r="BE6" s="44"/>
      <c r="BF6" s="45"/>
      <c r="BG6" s="43"/>
      <c r="BH6" s="43"/>
      <c r="BI6" s="44"/>
      <c r="BJ6" s="45"/>
      <c r="BK6" s="43"/>
      <c r="BL6" s="43"/>
      <c r="BM6" s="44"/>
      <c r="BN6" s="45"/>
      <c r="BO6" s="43"/>
      <c r="BP6" s="43"/>
      <c r="BQ6" s="44"/>
      <c r="BR6" s="45"/>
      <c r="BS6" s="43"/>
      <c r="BT6" s="43"/>
      <c r="BU6" s="44"/>
      <c r="BV6" s="817"/>
      <c r="BW6" s="43"/>
      <c r="BX6" s="43"/>
      <c r="BY6" s="44"/>
      <c r="BZ6" s="1111"/>
      <c r="CA6" s="1104"/>
      <c r="CB6" s="1104"/>
      <c r="CC6" s="1112"/>
      <c r="CD6" s="54"/>
      <c r="CE6" s="55"/>
      <c r="CF6" s="55"/>
      <c r="CG6" s="56"/>
      <c r="CH6" s="57"/>
      <c r="CI6" s="58"/>
      <c r="CJ6" s="58"/>
      <c r="CK6" s="59"/>
      <c r="CL6" s="47"/>
      <c r="CM6" s="43"/>
      <c r="CN6" s="43"/>
      <c r="CO6" s="48"/>
      <c r="CP6" s="37">
        <f t="shared" ref="CP6:CS37" si="2">SUM(B6+F6+J6+N6+R6+V6+Z6+AD6+AH6+AL6+AP6+AT6+AX6+BB6+BF6+BJ6+BN6+BR6+BV6+BZ6+CD6+CH6+CL6)</f>
        <v>0</v>
      </c>
      <c r="CQ6" s="35">
        <f t="shared" si="0"/>
        <v>0</v>
      </c>
      <c r="CR6" s="35">
        <f t="shared" si="0"/>
        <v>0</v>
      </c>
      <c r="CS6" s="1096">
        <f t="shared" si="0"/>
        <v>0</v>
      </c>
      <c r="CT6" s="818"/>
      <c r="CU6" s="58"/>
      <c r="CV6" s="58"/>
      <c r="CW6" s="59"/>
      <c r="CX6" s="35">
        <f t="shared" ref="CX6:DA36" si="3">CP6+CT6</f>
        <v>0</v>
      </c>
      <c r="CY6" s="35">
        <f t="shared" si="1"/>
        <v>0</v>
      </c>
      <c r="CZ6" s="35">
        <f t="shared" si="1"/>
        <v>0</v>
      </c>
      <c r="DA6" s="1096">
        <f t="shared" si="1"/>
        <v>0</v>
      </c>
    </row>
    <row r="7" spans="1:105" x14ac:dyDescent="0.3">
      <c r="A7" s="1087" t="s">
        <v>158</v>
      </c>
      <c r="B7" s="1085">
        <v>407528</v>
      </c>
      <c r="C7" s="814">
        <v>365479</v>
      </c>
      <c r="D7" s="815">
        <v>1186436</v>
      </c>
      <c r="E7" s="815">
        <v>1068124</v>
      </c>
      <c r="F7" s="45">
        <v>10944</v>
      </c>
      <c r="G7" s="43">
        <v>7399</v>
      </c>
      <c r="H7" s="43">
        <v>31513</v>
      </c>
      <c r="I7" s="48">
        <v>28942</v>
      </c>
      <c r="J7" s="45">
        <v>125910</v>
      </c>
      <c r="K7" s="43">
        <v>131992</v>
      </c>
      <c r="L7" s="43">
        <v>376007</v>
      </c>
      <c r="M7" s="44">
        <v>417078</v>
      </c>
      <c r="N7" s="45">
        <v>1586654</v>
      </c>
      <c r="O7" s="43">
        <v>1500719</v>
      </c>
      <c r="P7" s="43">
        <v>4627718</v>
      </c>
      <c r="Q7" s="48">
        <v>4386139</v>
      </c>
      <c r="R7" s="47">
        <v>55883</v>
      </c>
      <c r="S7" s="43">
        <v>49087</v>
      </c>
      <c r="T7" s="43">
        <v>163241</v>
      </c>
      <c r="U7" s="44">
        <v>139819</v>
      </c>
      <c r="V7" s="45">
        <v>173571</v>
      </c>
      <c r="W7" s="43">
        <v>144119</v>
      </c>
      <c r="X7" s="43">
        <v>500509</v>
      </c>
      <c r="Y7" s="44">
        <v>417660</v>
      </c>
      <c r="Z7" s="45">
        <v>131351</v>
      </c>
      <c r="AA7" s="43">
        <v>148739</v>
      </c>
      <c r="AB7" s="43">
        <v>424130</v>
      </c>
      <c r="AC7" s="44">
        <v>445093</v>
      </c>
      <c r="AD7" s="45">
        <v>164223</v>
      </c>
      <c r="AE7" s="43">
        <v>113054</v>
      </c>
      <c r="AF7" s="43">
        <v>511379</v>
      </c>
      <c r="AG7" s="44">
        <v>316512</v>
      </c>
      <c r="AH7" s="45">
        <v>172612</v>
      </c>
      <c r="AI7" s="43">
        <v>151444</v>
      </c>
      <c r="AJ7" s="43">
        <v>500337</v>
      </c>
      <c r="AK7" s="44">
        <v>432537</v>
      </c>
      <c r="AL7" s="45">
        <v>48717</v>
      </c>
      <c r="AM7" s="43">
        <v>44480</v>
      </c>
      <c r="AN7" s="43">
        <v>148615</v>
      </c>
      <c r="AO7" s="44">
        <v>118692</v>
      </c>
      <c r="AP7" s="45">
        <v>785118</v>
      </c>
      <c r="AQ7" s="43">
        <v>580259</v>
      </c>
      <c r="AR7" s="43">
        <v>2192476</v>
      </c>
      <c r="AS7" s="44">
        <v>1634024</v>
      </c>
      <c r="AT7" s="45">
        <v>1035274</v>
      </c>
      <c r="AU7" s="43">
        <v>1046717</v>
      </c>
      <c r="AV7" s="43">
        <v>3179182</v>
      </c>
      <c r="AW7" s="44">
        <v>3119655</v>
      </c>
      <c r="AX7" s="162">
        <v>99858</v>
      </c>
      <c r="AY7" s="51">
        <v>83409</v>
      </c>
      <c r="AZ7" s="51">
        <v>300641</v>
      </c>
      <c r="BA7" s="816">
        <v>244282</v>
      </c>
      <c r="BB7" s="45">
        <v>104899</v>
      </c>
      <c r="BC7" s="43">
        <v>97674</v>
      </c>
      <c r="BD7" s="43">
        <v>323674</v>
      </c>
      <c r="BE7" s="44">
        <v>289522</v>
      </c>
      <c r="BF7" s="45">
        <v>431556</v>
      </c>
      <c r="BG7" s="43">
        <v>362414</v>
      </c>
      <c r="BH7" s="43">
        <v>1253033</v>
      </c>
      <c r="BI7" s="44">
        <v>1077192</v>
      </c>
      <c r="BJ7" s="45">
        <v>416347</v>
      </c>
      <c r="BK7" s="43">
        <v>415776</v>
      </c>
      <c r="BL7" s="43">
        <v>1233712</v>
      </c>
      <c r="BM7" s="44">
        <v>1352010</v>
      </c>
      <c r="BN7" s="45">
        <v>214729</v>
      </c>
      <c r="BO7" s="43">
        <v>154399</v>
      </c>
      <c r="BP7" s="43">
        <v>636711</v>
      </c>
      <c r="BQ7" s="44">
        <v>451189</v>
      </c>
      <c r="BR7" s="45">
        <v>232908</v>
      </c>
      <c r="BS7" s="43">
        <v>298953</v>
      </c>
      <c r="BT7" s="43">
        <v>692604</v>
      </c>
      <c r="BU7" s="44">
        <v>648861</v>
      </c>
      <c r="BV7" s="817"/>
      <c r="BW7" s="43"/>
      <c r="BX7" s="43"/>
      <c r="BY7" s="44"/>
      <c r="BZ7" s="1113">
        <v>1075697</v>
      </c>
      <c r="CA7" s="1105">
        <v>880198</v>
      </c>
      <c r="CB7" s="1105">
        <v>3048245</v>
      </c>
      <c r="CC7" s="1114">
        <v>2606577</v>
      </c>
      <c r="CD7" s="54">
        <v>52014</v>
      </c>
      <c r="CE7" s="55">
        <v>47050</v>
      </c>
      <c r="CF7" s="55">
        <v>153060</v>
      </c>
      <c r="CG7" s="56">
        <v>152510</v>
      </c>
      <c r="CH7" s="57">
        <v>70238</v>
      </c>
      <c r="CI7" s="58">
        <v>60996</v>
      </c>
      <c r="CJ7" s="58">
        <v>228787</v>
      </c>
      <c r="CK7" s="59">
        <v>175344</v>
      </c>
      <c r="CL7" s="47">
        <v>353220</v>
      </c>
      <c r="CM7" s="43">
        <v>315429</v>
      </c>
      <c r="CN7" s="43">
        <v>1021065</v>
      </c>
      <c r="CO7" s="48">
        <v>929478</v>
      </c>
      <c r="CP7" s="37">
        <f t="shared" si="2"/>
        <v>7749251</v>
      </c>
      <c r="CQ7" s="35">
        <f t="shared" si="0"/>
        <v>6999786</v>
      </c>
      <c r="CR7" s="35">
        <f t="shared" si="0"/>
        <v>22733075</v>
      </c>
      <c r="CS7" s="1096">
        <f t="shared" si="0"/>
        <v>20451240</v>
      </c>
      <c r="CT7" s="818">
        <v>46865</v>
      </c>
      <c r="CU7" s="58">
        <v>42095</v>
      </c>
      <c r="CV7" s="58">
        <v>329528</v>
      </c>
      <c r="CW7" s="59">
        <v>308565</v>
      </c>
      <c r="CX7" s="35">
        <f t="shared" si="3"/>
        <v>7796116</v>
      </c>
      <c r="CY7" s="35">
        <f t="shared" si="1"/>
        <v>7041881</v>
      </c>
      <c r="CZ7" s="35">
        <f t="shared" si="1"/>
        <v>23062603</v>
      </c>
      <c r="DA7" s="1096">
        <f t="shared" si="1"/>
        <v>20759805</v>
      </c>
    </row>
    <row r="8" spans="1:105" x14ac:dyDescent="0.3">
      <c r="A8" s="1087" t="s">
        <v>159</v>
      </c>
      <c r="B8" s="1085">
        <v>207202</v>
      </c>
      <c r="C8" s="814">
        <v>89001</v>
      </c>
      <c r="D8" s="815">
        <v>534213</v>
      </c>
      <c r="E8" s="815">
        <v>95944</v>
      </c>
      <c r="F8" s="45"/>
      <c r="G8" s="43">
        <v>2776</v>
      </c>
      <c r="H8" s="43">
        <v>9369</v>
      </c>
      <c r="I8" s="48">
        <v>11003</v>
      </c>
      <c r="J8" s="45">
        <v>18806</v>
      </c>
      <c r="K8" s="43">
        <v>16463</v>
      </c>
      <c r="L8" s="43">
        <v>34612</v>
      </c>
      <c r="M8" s="44">
        <v>36729</v>
      </c>
      <c r="N8" s="45">
        <v>331145</v>
      </c>
      <c r="O8" s="43">
        <v>297032</v>
      </c>
      <c r="P8" s="43">
        <v>863862</v>
      </c>
      <c r="Q8" s="48">
        <v>1134030</v>
      </c>
      <c r="R8" s="47">
        <v>12251</v>
      </c>
      <c r="S8" s="43">
        <v>17954</v>
      </c>
      <c r="T8" s="43">
        <v>36858</v>
      </c>
      <c r="U8" s="44">
        <v>76148</v>
      </c>
      <c r="V8" s="45">
        <v>22499</v>
      </c>
      <c r="W8" s="43">
        <v>3680</v>
      </c>
      <c r="X8" s="43">
        <v>35914</v>
      </c>
      <c r="Y8" s="44">
        <v>45772</v>
      </c>
      <c r="Z8" s="45">
        <v>12225</v>
      </c>
      <c r="AA8" s="43">
        <v>24407</v>
      </c>
      <c r="AB8" s="43">
        <v>41204</v>
      </c>
      <c r="AC8" s="44">
        <v>99271</v>
      </c>
      <c r="AD8" s="45">
        <v>10772</v>
      </c>
      <c r="AE8" s="43">
        <v>189949</v>
      </c>
      <c r="AF8" s="43">
        <v>147560</v>
      </c>
      <c r="AG8" s="44">
        <v>345993</v>
      </c>
      <c r="AH8" s="45">
        <v>4778</v>
      </c>
      <c r="AI8" s="43">
        <v>34634</v>
      </c>
      <c r="AJ8" s="43">
        <v>17833</v>
      </c>
      <c r="AK8" s="44">
        <v>63499</v>
      </c>
      <c r="AL8" s="45">
        <v>10138</v>
      </c>
      <c r="AM8" s="43">
        <v>8287</v>
      </c>
      <c r="AN8" s="43">
        <v>27725</v>
      </c>
      <c r="AO8" s="44">
        <v>36935</v>
      </c>
      <c r="AP8" s="45">
        <v>78302</v>
      </c>
      <c r="AQ8" s="43">
        <v>62066</v>
      </c>
      <c r="AR8" s="43">
        <v>250388</v>
      </c>
      <c r="AS8" s="44">
        <v>587025</v>
      </c>
      <c r="AT8" s="45">
        <v>675025</v>
      </c>
      <c r="AU8" s="43">
        <v>1151253</v>
      </c>
      <c r="AV8" s="43">
        <v>1652419</v>
      </c>
      <c r="AW8" s="44">
        <v>1848805</v>
      </c>
      <c r="AX8" s="162">
        <v>20967</v>
      </c>
      <c r="AY8" s="51">
        <v>20871</v>
      </c>
      <c r="AZ8" s="51">
        <v>42005</v>
      </c>
      <c r="BA8" s="816">
        <v>58791</v>
      </c>
      <c r="BB8" s="45">
        <v>1283</v>
      </c>
      <c r="BC8" s="43">
        <v>2670</v>
      </c>
      <c r="BD8" s="43">
        <v>3222</v>
      </c>
      <c r="BE8" s="44">
        <v>3362</v>
      </c>
      <c r="BF8" s="45"/>
      <c r="BG8" s="43">
        <v>52899</v>
      </c>
      <c r="BH8" s="43">
        <v>1217</v>
      </c>
      <c r="BI8" s="44">
        <v>120733</v>
      </c>
      <c r="BJ8" s="45">
        <v>89976</v>
      </c>
      <c r="BK8" s="43">
        <v>207274</v>
      </c>
      <c r="BL8" s="43">
        <v>456874</v>
      </c>
      <c r="BM8" s="44">
        <v>416982</v>
      </c>
      <c r="BN8" s="45">
        <v>382</v>
      </c>
      <c r="BO8" s="43"/>
      <c r="BP8" s="43">
        <v>382</v>
      </c>
      <c r="BQ8" s="44"/>
      <c r="BR8" s="45">
        <v>47809</v>
      </c>
      <c r="BS8" s="43">
        <v>73060</v>
      </c>
      <c r="BT8" s="43">
        <v>309267</v>
      </c>
      <c r="BU8" s="44">
        <v>465632</v>
      </c>
      <c r="BV8" s="817"/>
      <c r="BW8" s="43"/>
      <c r="BX8" s="43"/>
      <c r="BY8" s="44"/>
      <c r="BZ8" s="1113">
        <v>203909</v>
      </c>
      <c r="CA8" s="1105">
        <v>311366</v>
      </c>
      <c r="CB8" s="1105">
        <v>622998</v>
      </c>
      <c r="CC8" s="1114">
        <v>822666</v>
      </c>
      <c r="CD8" s="54">
        <v>10114</v>
      </c>
      <c r="CE8" s="55">
        <v>57407</v>
      </c>
      <c r="CF8" s="55">
        <v>242193</v>
      </c>
      <c r="CG8" s="56">
        <v>416758</v>
      </c>
      <c r="CH8" s="57">
        <v>10759</v>
      </c>
      <c r="CI8" s="58">
        <v>7735</v>
      </c>
      <c r="CJ8" s="58">
        <v>40783</v>
      </c>
      <c r="CK8" s="59">
        <v>24863</v>
      </c>
      <c r="CL8" s="47">
        <v>24565</v>
      </c>
      <c r="CM8" s="43">
        <v>58646</v>
      </c>
      <c r="CN8" s="43">
        <v>75529</v>
      </c>
      <c r="CO8" s="48">
        <v>287134</v>
      </c>
      <c r="CP8" s="37">
        <f t="shared" si="2"/>
        <v>1792907</v>
      </c>
      <c r="CQ8" s="35">
        <f t="shared" si="0"/>
        <v>2689430</v>
      </c>
      <c r="CR8" s="35">
        <f t="shared" si="0"/>
        <v>5446427</v>
      </c>
      <c r="CS8" s="1096">
        <f t="shared" si="0"/>
        <v>6998075</v>
      </c>
      <c r="CT8" s="818">
        <v>12383</v>
      </c>
      <c r="CU8" s="58">
        <v>170</v>
      </c>
      <c r="CV8" s="58">
        <v>116406</v>
      </c>
      <c r="CW8" s="59">
        <v>15232</v>
      </c>
      <c r="CX8" s="35">
        <f t="shared" si="3"/>
        <v>1805290</v>
      </c>
      <c r="CY8" s="35">
        <f t="shared" si="1"/>
        <v>2689600</v>
      </c>
      <c r="CZ8" s="35">
        <f t="shared" si="1"/>
        <v>5562833</v>
      </c>
      <c r="DA8" s="1096">
        <f t="shared" si="1"/>
        <v>7013307</v>
      </c>
    </row>
    <row r="9" spans="1:105" x14ac:dyDescent="0.3">
      <c r="A9" s="1087" t="s">
        <v>160</v>
      </c>
      <c r="B9" s="1085">
        <v>-241</v>
      </c>
      <c r="C9" s="814"/>
      <c r="D9" s="815">
        <v>-242</v>
      </c>
      <c r="E9" s="815"/>
      <c r="F9" s="45"/>
      <c r="G9" s="43"/>
      <c r="H9" s="43"/>
      <c r="I9" s="48"/>
      <c r="J9" s="45">
        <v>-17550</v>
      </c>
      <c r="K9" s="43">
        <v>-99</v>
      </c>
      <c r="L9" s="43">
        <v>-20923</v>
      </c>
      <c r="M9" s="44">
        <v>-105</v>
      </c>
      <c r="N9" s="45">
        <v>-65725</v>
      </c>
      <c r="O9" s="43">
        <v>-153773</v>
      </c>
      <c r="P9" s="43">
        <v>-454017</v>
      </c>
      <c r="Q9" s="48">
        <v>-274841</v>
      </c>
      <c r="R9" s="47">
        <v>-9277</v>
      </c>
      <c r="S9" s="43">
        <v>-2371</v>
      </c>
      <c r="T9" s="43">
        <v>-15090</v>
      </c>
      <c r="U9" s="44">
        <v>-4250</v>
      </c>
      <c r="V9" s="45"/>
      <c r="W9" s="43"/>
      <c r="X9" s="43"/>
      <c r="Y9" s="44"/>
      <c r="Z9" s="45">
        <v>-3619</v>
      </c>
      <c r="AA9" s="43">
        <v>-2447</v>
      </c>
      <c r="AB9" s="43">
        <v>-3710</v>
      </c>
      <c r="AC9" s="44">
        <v>-3307</v>
      </c>
      <c r="AD9" s="45">
        <v>-100190</v>
      </c>
      <c r="AE9" s="43">
        <v>-13527</v>
      </c>
      <c r="AF9" s="43">
        <v>-226882</v>
      </c>
      <c r="AG9" s="44">
        <v>-37422</v>
      </c>
      <c r="AH9" s="45">
        <v>-44250</v>
      </c>
      <c r="AI9" s="43"/>
      <c r="AJ9" s="43">
        <v>-48928</v>
      </c>
      <c r="AK9" s="44"/>
      <c r="AL9" s="45">
        <v>-1035</v>
      </c>
      <c r="AM9" s="43">
        <v>-3194</v>
      </c>
      <c r="AN9" s="43">
        <v>-6584</v>
      </c>
      <c r="AO9" s="44">
        <v>-6359</v>
      </c>
      <c r="AP9" s="45">
        <v>-2077</v>
      </c>
      <c r="AQ9" s="43">
        <v>-3077</v>
      </c>
      <c r="AR9" s="43">
        <v>-6586</v>
      </c>
      <c r="AS9" s="44">
        <v>-337766</v>
      </c>
      <c r="AT9" s="45">
        <v>-317036</v>
      </c>
      <c r="AU9" s="43">
        <v>-28561</v>
      </c>
      <c r="AV9" s="43">
        <v>-586391</v>
      </c>
      <c r="AW9" s="44">
        <v>-31656</v>
      </c>
      <c r="AX9" s="162">
        <v>-10830</v>
      </c>
      <c r="AY9" s="51">
        <v>-5410</v>
      </c>
      <c r="AZ9" s="51">
        <v>-17536</v>
      </c>
      <c r="BA9" s="816">
        <v>-9437</v>
      </c>
      <c r="BB9" s="45">
        <v>-7</v>
      </c>
      <c r="BC9" s="43">
        <v>-225</v>
      </c>
      <c r="BD9" s="43">
        <v>-7</v>
      </c>
      <c r="BE9" s="44">
        <v>-233</v>
      </c>
      <c r="BF9" s="45"/>
      <c r="BG9" s="43">
        <v>-8329</v>
      </c>
      <c r="BH9" s="43">
        <v>-6432</v>
      </c>
      <c r="BI9" s="44">
        <v>-8603</v>
      </c>
      <c r="BJ9" s="45">
        <v>-7861</v>
      </c>
      <c r="BK9" s="43">
        <v>-22469</v>
      </c>
      <c r="BL9" s="43">
        <v>-58389</v>
      </c>
      <c r="BM9" s="44">
        <v>-24166</v>
      </c>
      <c r="BN9" s="45"/>
      <c r="BO9" s="43"/>
      <c r="BP9" s="43">
        <v>-1055</v>
      </c>
      <c r="BQ9" s="44"/>
      <c r="BR9" s="45">
        <v>-32483</v>
      </c>
      <c r="BS9" s="43">
        <v>-19153</v>
      </c>
      <c r="BT9" s="43">
        <v>-88546</v>
      </c>
      <c r="BU9" s="44">
        <v>-81460</v>
      </c>
      <c r="BV9" s="817"/>
      <c r="BW9" s="43"/>
      <c r="BX9" s="43"/>
      <c r="BY9" s="44"/>
      <c r="BZ9" s="1113">
        <v>-7853</v>
      </c>
      <c r="CA9" s="1105">
        <v>-19012</v>
      </c>
      <c r="CB9" s="1105">
        <v>-31491</v>
      </c>
      <c r="CC9" s="1114">
        <v>-47770</v>
      </c>
      <c r="CD9" s="54">
        <v>-2166</v>
      </c>
      <c r="CE9" s="55"/>
      <c r="CF9" s="55">
        <v>-298550</v>
      </c>
      <c r="CG9" s="56">
        <v>-4437</v>
      </c>
      <c r="CH9" s="57">
        <v>-10114</v>
      </c>
      <c r="CI9" s="58">
        <v>-5388</v>
      </c>
      <c r="CJ9" s="58">
        <v>-22518</v>
      </c>
      <c r="CK9" s="59">
        <v>-7910</v>
      </c>
      <c r="CL9" s="47">
        <v>-20023</v>
      </c>
      <c r="CM9" s="43">
        <v>-35074</v>
      </c>
      <c r="CN9" s="43">
        <v>-54456</v>
      </c>
      <c r="CO9" s="48">
        <v>-35074</v>
      </c>
      <c r="CP9" s="37">
        <f t="shared" si="2"/>
        <v>-652337</v>
      </c>
      <c r="CQ9" s="35">
        <f t="shared" si="0"/>
        <v>-322109</v>
      </c>
      <c r="CR9" s="35">
        <f t="shared" si="0"/>
        <v>-1948333</v>
      </c>
      <c r="CS9" s="1096">
        <f t="shared" si="0"/>
        <v>-914796</v>
      </c>
      <c r="CT9" s="818">
        <v>-358</v>
      </c>
      <c r="CU9" s="58">
        <v>-953</v>
      </c>
      <c r="CV9" s="58">
        <v>-54701</v>
      </c>
      <c r="CW9" s="59">
        <v>-2588</v>
      </c>
      <c r="CX9" s="35">
        <f t="shared" si="3"/>
        <v>-652695</v>
      </c>
      <c r="CY9" s="35">
        <f t="shared" si="1"/>
        <v>-323062</v>
      </c>
      <c r="CZ9" s="35">
        <f t="shared" si="1"/>
        <v>-2003034</v>
      </c>
      <c r="DA9" s="1096">
        <f t="shared" si="1"/>
        <v>-917384</v>
      </c>
    </row>
    <row r="10" spans="1:105" x14ac:dyDescent="0.3">
      <c r="A10" s="1087" t="s">
        <v>161</v>
      </c>
      <c r="B10" s="37"/>
      <c r="C10" s="34"/>
      <c r="D10" s="813"/>
      <c r="E10" s="813"/>
      <c r="F10" s="68">
        <v>9496</v>
      </c>
      <c r="G10" s="66">
        <v>1336</v>
      </c>
      <c r="H10" s="66">
        <v>19516</v>
      </c>
      <c r="I10" s="71">
        <v>1007</v>
      </c>
      <c r="J10" s="68"/>
      <c r="K10" s="66"/>
      <c r="L10" s="66"/>
      <c r="M10" s="67"/>
      <c r="N10" s="68">
        <v>3733</v>
      </c>
      <c r="O10" s="66">
        <v>-28142</v>
      </c>
      <c r="P10" s="66">
        <v>-34349</v>
      </c>
      <c r="Q10" s="71">
        <v>-65540</v>
      </c>
      <c r="R10" s="70"/>
      <c r="S10" s="66"/>
      <c r="T10" s="66"/>
      <c r="U10" s="67"/>
      <c r="V10" s="68"/>
      <c r="W10" s="66"/>
      <c r="X10" s="66"/>
      <c r="Y10" s="67"/>
      <c r="Z10" s="68">
        <v>-7490</v>
      </c>
      <c r="AA10" s="66">
        <v>-9651</v>
      </c>
      <c r="AB10" s="66">
        <v>-26107</v>
      </c>
      <c r="AC10" s="67">
        <v>-26451</v>
      </c>
      <c r="AD10" s="68"/>
      <c r="AE10" s="66"/>
      <c r="AF10" s="66"/>
      <c r="AG10" s="67"/>
      <c r="AH10" s="68"/>
      <c r="AI10" s="66"/>
      <c r="AJ10" s="66"/>
      <c r="AK10" s="67"/>
      <c r="AL10" s="68"/>
      <c r="AM10" s="66"/>
      <c r="AN10" s="66"/>
      <c r="AO10" s="67"/>
      <c r="AP10" s="68">
        <v>-26560</v>
      </c>
      <c r="AQ10" s="66">
        <v>-21593</v>
      </c>
      <c r="AR10" s="66">
        <v>-80336</v>
      </c>
      <c r="AS10" s="67">
        <v>-54163</v>
      </c>
      <c r="AT10" s="68">
        <v>-3360</v>
      </c>
      <c r="AU10" s="66">
        <v>-3489</v>
      </c>
      <c r="AV10" s="66">
        <v>-23163</v>
      </c>
      <c r="AW10" s="67">
        <v>3914</v>
      </c>
      <c r="AX10" s="162">
        <v>5682</v>
      </c>
      <c r="AY10" s="51">
        <v>9123</v>
      </c>
      <c r="AZ10" s="51">
        <v>20829</v>
      </c>
      <c r="BA10" s="816">
        <v>24270</v>
      </c>
      <c r="BB10" s="68">
        <v>23762</v>
      </c>
      <c r="BC10" s="66">
        <v>7731</v>
      </c>
      <c r="BD10" s="66">
        <v>59573</v>
      </c>
      <c r="BE10" s="67">
        <v>31182</v>
      </c>
      <c r="BF10" s="820"/>
      <c r="BG10" s="73"/>
      <c r="BH10" s="73"/>
      <c r="BI10" s="821"/>
      <c r="BJ10" s="68">
        <v>2062</v>
      </c>
      <c r="BK10" s="66">
        <v>-8603</v>
      </c>
      <c r="BL10" s="66">
        <v>-28472</v>
      </c>
      <c r="BM10" s="67">
        <v>-36306</v>
      </c>
      <c r="BN10" s="68"/>
      <c r="BO10" s="66"/>
      <c r="BP10" s="66"/>
      <c r="BQ10" s="67"/>
      <c r="BR10" s="68">
        <v>976</v>
      </c>
      <c r="BS10" s="66">
        <v>-1127</v>
      </c>
      <c r="BT10" s="66">
        <v>-2622</v>
      </c>
      <c r="BU10" s="67">
        <v>-3192</v>
      </c>
      <c r="BV10" s="817"/>
      <c r="BW10" s="43"/>
      <c r="BX10" s="43"/>
      <c r="BY10" s="44"/>
      <c r="BZ10" s="1113">
        <v>-2391</v>
      </c>
      <c r="CA10" s="1105">
        <v>10372</v>
      </c>
      <c r="CB10" s="1105">
        <v>57229</v>
      </c>
      <c r="CC10" s="1114">
        <v>-1473</v>
      </c>
      <c r="CD10" s="54">
        <v>-1404</v>
      </c>
      <c r="CE10" s="55">
        <v>-1633</v>
      </c>
      <c r="CF10" s="55">
        <v>-3582</v>
      </c>
      <c r="CG10" s="56">
        <v>-4801</v>
      </c>
      <c r="CH10" s="57"/>
      <c r="CI10" s="58"/>
      <c r="CJ10" s="58"/>
      <c r="CK10" s="59"/>
      <c r="CL10" s="70"/>
      <c r="CM10" s="66"/>
      <c r="CN10" s="66"/>
      <c r="CO10" s="71"/>
      <c r="CP10" s="37">
        <f t="shared" si="2"/>
        <v>4506</v>
      </c>
      <c r="CQ10" s="35">
        <f t="shared" si="0"/>
        <v>-45676</v>
      </c>
      <c r="CR10" s="35">
        <f t="shared" si="0"/>
        <v>-41484</v>
      </c>
      <c r="CS10" s="1096">
        <f t="shared" si="0"/>
        <v>-131553</v>
      </c>
      <c r="CT10" s="68"/>
      <c r="CU10" s="66"/>
      <c r="CV10" s="66"/>
      <c r="CW10" s="71"/>
      <c r="CX10" s="35">
        <f t="shared" si="3"/>
        <v>4506</v>
      </c>
      <c r="CY10" s="35">
        <f t="shared" si="1"/>
        <v>-45676</v>
      </c>
      <c r="CZ10" s="35">
        <f t="shared" si="1"/>
        <v>-41484</v>
      </c>
      <c r="DA10" s="1096">
        <f t="shared" si="1"/>
        <v>-131553</v>
      </c>
    </row>
    <row r="11" spans="1:105" x14ac:dyDescent="0.3">
      <c r="A11" s="1087" t="s">
        <v>162</v>
      </c>
      <c r="B11" s="1085"/>
      <c r="C11" s="814"/>
      <c r="D11" s="815"/>
      <c r="E11" s="815"/>
      <c r="F11" s="45"/>
      <c r="G11" s="43">
        <v>199</v>
      </c>
      <c r="H11" s="43"/>
      <c r="I11" s="48">
        <v>559</v>
      </c>
      <c r="J11" s="45"/>
      <c r="K11" s="43"/>
      <c r="L11" s="43"/>
      <c r="M11" s="44"/>
      <c r="N11" s="45"/>
      <c r="O11" s="43"/>
      <c r="P11" s="43"/>
      <c r="Q11" s="48"/>
      <c r="R11" s="47"/>
      <c r="S11" s="43"/>
      <c r="T11" s="43"/>
      <c r="U11" s="44"/>
      <c r="V11" s="45"/>
      <c r="W11" s="43"/>
      <c r="X11" s="43"/>
      <c r="Y11" s="44">
        <v>710</v>
      </c>
      <c r="Z11" s="45"/>
      <c r="AA11" s="43"/>
      <c r="AB11" s="43"/>
      <c r="AC11" s="44"/>
      <c r="AD11" s="45"/>
      <c r="AE11" s="43">
        <v>60</v>
      </c>
      <c r="AF11" s="43"/>
      <c r="AG11" s="44">
        <v>60</v>
      </c>
      <c r="AH11" s="45"/>
      <c r="AI11" s="43"/>
      <c r="AJ11" s="43"/>
      <c r="AK11" s="44"/>
      <c r="AL11" s="45"/>
      <c r="AM11" s="43"/>
      <c r="AN11" s="43"/>
      <c r="AO11" s="44"/>
      <c r="AP11" s="45"/>
      <c r="AQ11" s="43"/>
      <c r="AR11" s="43">
        <v>93169</v>
      </c>
      <c r="AS11" s="44">
        <v>130180</v>
      </c>
      <c r="AT11" s="45">
        <v>2473</v>
      </c>
      <c r="AU11" s="43">
        <v>2318</v>
      </c>
      <c r="AV11" s="43">
        <v>12454</v>
      </c>
      <c r="AW11" s="44">
        <v>7621</v>
      </c>
      <c r="AX11" s="45">
        <v>697</v>
      </c>
      <c r="AY11" s="43">
        <v>40</v>
      </c>
      <c r="AZ11" s="43">
        <f>54+1785</f>
        <v>1839</v>
      </c>
      <c r="BA11" s="44">
        <v>280</v>
      </c>
      <c r="BB11" s="45">
        <v>1670</v>
      </c>
      <c r="BC11" s="43">
        <v>1534</v>
      </c>
      <c r="BD11" s="43">
        <v>6273</v>
      </c>
      <c r="BE11" s="44">
        <v>5345</v>
      </c>
      <c r="BF11" s="45"/>
      <c r="BG11" s="43"/>
      <c r="BH11" s="43"/>
      <c r="BI11" s="44"/>
      <c r="BJ11" s="45">
        <v>8492</v>
      </c>
      <c r="BK11" s="43">
        <v>938</v>
      </c>
      <c r="BL11" s="43">
        <v>24132</v>
      </c>
      <c r="BM11" s="44">
        <v>1986</v>
      </c>
      <c r="BN11" s="45"/>
      <c r="BO11" s="43"/>
      <c r="BP11" s="43"/>
      <c r="BQ11" s="44"/>
      <c r="BR11" s="45"/>
      <c r="BS11" s="43"/>
      <c r="BT11" s="43"/>
      <c r="BU11" s="44"/>
      <c r="BV11" s="817"/>
      <c r="BW11" s="43"/>
      <c r="BX11" s="43"/>
      <c r="BY11" s="44"/>
      <c r="BZ11" s="1113">
        <v>21125</v>
      </c>
      <c r="CA11" s="1105">
        <v>28322</v>
      </c>
      <c r="CB11" s="1105">
        <v>106269</v>
      </c>
      <c r="CC11" s="1114">
        <v>89299</v>
      </c>
      <c r="CD11" s="54"/>
      <c r="CE11" s="55">
        <v>1934</v>
      </c>
      <c r="CF11" s="55">
        <v>229</v>
      </c>
      <c r="CG11" s="56">
        <v>2027</v>
      </c>
      <c r="CH11" s="57">
        <v>-50</v>
      </c>
      <c r="CI11" s="58">
        <v>-149</v>
      </c>
      <c r="CJ11" s="58">
        <v>27</v>
      </c>
      <c r="CK11" s="59">
        <v>32</v>
      </c>
      <c r="CL11" s="47"/>
      <c r="CM11" s="43"/>
      <c r="CN11" s="43"/>
      <c r="CO11" s="48"/>
      <c r="CP11" s="37">
        <f t="shared" si="2"/>
        <v>34407</v>
      </c>
      <c r="CQ11" s="35">
        <f t="shared" si="0"/>
        <v>35196</v>
      </c>
      <c r="CR11" s="35">
        <f t="shared" si="0"/>
        <v>244392</v>
      </c>
      <c r="CS11" s="1096">
        <f t="shared" si="0"/>
        <v>238099</v>
      </c>
      <c r="CT11" s="818"/>
      <c r="CU11" s="58"/>
      <c r="CV11" s="58"/>
      <c r="CW11" s="59"/>
      <c r="CX11" s="35">
        <f t="shared" si="3"/>
        <v>34407</v>
      </c>
      <c r="CY11" s="35">
        <f t="shared" si="1"/>
        <v>35196</v>
      </c>
      <c r="CZ11" s="35">
        <f t="shared" si="1"/>
        <v>244392</v>
      </c>
      <c r="DA11" s="1096">
        <f t="shared" si="1"/>
        <v>238099</v>
      </c>
    </row>
    <row r="12" spans="1:105" s="86" customFormat="1" x14ac:dyDescent="0.3">
      <c r="A12" s="1088" t="s">
        <v>163</v>
      </c>
      <c r="B12" s="904">
        <f>SUM(B5:B11)</f>
        <v>1170751</v>
      </c>
      <c r="C12" s="822">
        <f>SUM(C5:C11)</f>
        <v>1529474</v>
      </c>
      <c r="D12" s="822">
        <f t="shared" ref="D12:BO12" si="4">SUM(D5:D11)</f>
        <v>3140106</v>
      </c>
      <c r="E12" s="822">
        <f t="shared" si="4"/>
        <v>3392889</v>
      </c>
      <c r="F12" s="822">
        <f t="shared" si="4"/>
        <v>20440</v>
      </c>
      <c r="G12" s="822">
        <f t="shared" si="4"/>
        <v>11710</v>
      </c>
      <c r="H12" s="822">
        <f t="shared" si="4"/>
        <v>60398</v>
      </c>
      <c r="I12" s="822">
        <f t="shared" si="4"/>
        <v>41511</v>
      </c>
      <c r="J12" s="822">
        <f t="shared" si="4"/>
        <v>127166</v>
      </c>
      <c r="K12" s="822">
        <f t="shared" si="4"/>
        <v>148356</v>
      </c>
      <c r="L12" s="822">
        <f t="shared" si="4"/>
        <v>389696</v>
      </c>
      <c r="M12" s="822">
        <f t="shared" si="4"/>
        <v>453702</v>
      </c>
      <c r="N12" s="822">
        <f t="shared" si="4"/>
        <v>2611090</v>
      </c>
      <c r="O12" s="822">
        <f t="shared" si="4"/>
        <v>2226655</v>
      </c>
      <c r="P12" s="822">
        <f t="shared" si="4"/>
        <v>6464344</v>
      </c>
      <c r="Q12" s="822">
        <f t="shared" si="4"/>
        <v>6705778</v>
      </c>
      <c r="R12" s="822">
        <f t="shared" si="4"/>
        <v>-182259</v>
      </c>
      <c r="S12" s="822">
        <f t="shared" si="4"/>
        <v>-284221</v>
      </c>
      <c r="T12" s="822">
        <f t="shared" si="4"/>
        <v>-464240</v>
      </c>
      <c r="U12" s="822">
        <f t="shared" si="4"/>
        <v>-576645</v>
      </c>
      <c r="V12" s="822">
        <f t="shared" si="4"/>
        <v>196070</v>
      </c>
      <c r="W12" s="822">
        <f t="shared" si="4"/>
        <v>147799</v>
      </c>
      <c r="X12" s="822">
        <f t="shared" si="4"/>
        <v>536423</v>
      </c>
      <c r="Y12" s="822">
        <f t="shared" si="4"/>
        <v>464142</v>
      </c>
      <c r="Z12" s="822">
        <f t="shared" si="4"/>
        <v>815517</v>
      </c>
      <c r="AA12" s="822">
        <f t="shared" si="4"/>
        <v>1136362</v>
      </c>
      <c r="AB12" s="822">
        <f t="shared" si="4"/>
        <v>3322434</v>
      </c>
      <c r="AC12" s="822">
        <f t="shared" si="4"/>
        <v>3067609</v>
      </c>
      <c r="AD12" s="822">
        <f t="shared" si="4"/>
        <v>69843</v>
      </c>
      <c r="AE12" s="822">
        <f t="shared" si="4"/>
        <v>289536</v>
      </c>
      <c r="AF12" s="822">
        <f t="shared" si="4"/>
        <v>510671</v>
      </c>
      <c r="AG12" s="822">
        <f t="shared" si="4"/>
        <v>625143</v>
      </c>
      <c r="AH12" s="822">
        <f t="shared" si="4"/>
        <v>133140</v>
      </c>
      <c r="AI12" s="822">
        <f t="shared" si="4"/>
        <v>186078</v>
      </c>
      <c r="AJ12" s="822">
        <f t="shared" si="4"/>
        <v>469242</v>
      </c>
      <c r="AK12" s="822">
        <f t="shared" si="4"/>
        <v>496036</v>
      </c>
      <c r="AL12" s="822">
        <f t="shared" si="4"/>
        <v>57820</v>
      </c>
      <c r="AM12" s="822">
        <f t="shared" si="4"/>
        <v>49573</v>
      </c>
      <c r="AN12" s="822">
        <f t="shared" si="4"/>
        <v>169756</v>
      </c>
      <c r="AO12" s="822">
        <f t="shared" si="4"/>
        <v>149268</v>
      </c>
      <c r="AP12" s="822">
        <f t="shared" si="4"/>
        <v>2603938</v>
      </c>
      <c r="AQ12" s="822">
        <f t="shared" si="4"/>
        <v>2116539</v>
      </c>
      <c r="AR12" s="822">
        <f t="shared" si="4"/>
        <v>9758706</v>
      </c>
      <c r="AS12" s="822">
        <f t="shared" si="4"/>
        <v>8016171</v>
      </c>
      <c r="AT12" s="822">
        <f t="shared" si="4"/>
        <v>4054144</v>
      </c>
      <c r="AU12" s="822">
        <f t="shared" si="4"/>
        <v>4909796</v>
      </c>
      <c r="AV12" s="822">
        <f t="shared" si="4"/>
        <v>10839196</v>
      </c>
      <c r="AW12" s="822">
        <f t="shared" si="4"/>
        <v>13873869</v>
      </c>
      <c r="AX12" s="822">
        <f t="shared" si="4"/>
        <v>116374</v>
      </c>
      <c r="AY12" s="822">
        <f t="shared" si="4"/>
        <v>108033</v>
      </c>
      <c r="AZ12" s="822">
        <f t="shared" si="4"/>
        <v>347778</v>
      </c>
      <c r="BA12" s="822">
        <f t="shared" si="4"/>
        <v>318186</v>
      </c>
      <c r="BB12" s="822">
        <f t="shared" si="4"/>
        <v>288490</v>
      </c>
      <c r="BC12" s="822">
        <f t="shared" si="4"/>
        <v>225096</v>
      </c>
      <c r="BD12" s="822">
        <f t="shared" si="4"/>
        <v>696689</v>
      </c>
      <c r="BE12" s="822">
        <f t="shared" si="4"/>
        <v>512224</v>
      </c>
      <c r="BF12" s="822">
        <f t="shared" si="4"/>
        <v>431556</v>
      </c>
      <c r="BG12" s="822">
        <f t="shared" si="4"/>
        <v>406984</v>
      </c>
      <c r="BH12" s="822">
        <f t="shared" si="4"/>
        <v>1247818</v>
      </c>
      <c r="BI12" s="822">
        <f t="shared" si="4"/>
        <v>1189322</v>
      </c>
      <c r="BJ12" s="822">
        <f t="shared" si="4"/>
        <v>1095411</v>
      </c>
      <c r="BK12" s="822">
        <f t="shared" si="4"/>
        <v>1356628</v>
      </c>
      <c r="BL12" s="822">
        <f t="shared" si="4"/>
        <v>3932502</v>
      </c>
      <c r="BM12" s="822">
        <f t="shared" si="4"/>
        <v>3873333</v>
      </c>
      <c r="BN12" s="822">
        <f t="shared" si="4"/>
        <v>350965</v>
      </c>
      <c r="BO12" s="822">
        <f t="shared" si="4"/>
        <v>448676</v>
      </c>
      <c r="BP12" s="822">
        <f t="shared" ref="BP12:CW12" si="5">SUM(BP5:BP11)</f>
        <v>1229932</v>
      </c>
      <c r="BQ12" s="822">
        <f t="shared" si="5"/>
        <v>1449442</v>
      </c>
      <c r="BR12" s="822">
        <f t="shared" si="5"/>
        <v>249210</v>
      </c>
      <c r="BS12" s="822">
        <f t="shared" si="5"/>
        <v>351733</v>
      </c>
      <c r="BT12" s="822">
        <f t="shared" si="5"/>
        <v>910703</v>
      </c>
      <c r="BU12" s="901">
        <f t="shared" si="5"/>
        <v>1029841</v>
      </c>
      <c r="BV12" s="907">
        <f t="shared" si="5"/>
        <v>0</v>
      </c>
      <c r="BW12" s="822">
        <f t="shared" si="5"/>
        <v>0</v>
      </c>
      <c r="BX12" s="822">
        <f t="shared" si="5"/>
        <v>0</v>
      </c>
      <c r="BY12" s="901">
        <f t="shared" si="5"/>
        <v>0</v>
      </c>
      <c r="BZ12" s="907">
        <f t="shared" si="5"/>
        <v>2937187</v>
      </c>
      <c r="CA12" s="822">
        <f t="shared" si="5"/>
        <v>2469791</v>
      </c>
      <c r="CB12" s="822">
        <f t="shared" si="5"/>
        <v>9277503</v>
      </c>
      <c r="CC12" s="908">
        <f t="shared" si="5"/>
        <v>8205188</v>
      </c>
      <c r="CD12" s="904">
        <f t="shared" si="5"/>
        <v>58558</v>
      </c>
      <c r="CE12" s="822">
        <f t="shared" si="5"/>
        <v>104758</v>
      </c>
      <c r="CF12" s="822">
        <f t="shared" si="5"/>
        <v>93350</v>
      </c>
      <c r="CG12" s="908">
        <f t="shared" si="5"/>
        <v>562057</v>
      </c>
      <c r="CH12" s="904">
        <f t="shared" si="5"/>
        <v>340475</v>
      </c>
      <c r="CI12" s="822">
        <f t="shared" si="5"/>
        <v>202921</v>
      </c>
      <c r="CJ12" s="822">
        <f t="shared" si="5"/>
        <v>804045</v>
      </c>
      <c r="CK12" s="908">
        <f t="shared" si="5"/>
        <v>339278</v>
      </c>
      <c r="CL12" s="904">
        <f t="shared" si="5"/>
        <v>357762</v>
      </c>
      <c r="CM12" s="822">
        <f t="shared" si="5"/>
        <v>339001</v>
      </c>
      <c r="CN12" s="822">
        <f t="shared" si="5"/>
        <v>1175450</v>
      </c>
      <c r="CO12" s="908">
        <f t="shared" si="5"/>
        <v>1545952</v>
      </c>
      <c r="CP12" s="37">
        <f t="shared" si="2"/>
        <v>17903648</v>
      </c>
      <c r="CQ12" s="35">
        <f t="shared" si="0"/>
        <v>18481278</v>
      </c>
      <c r="CR12" s="35">
        <f t="shared" si="0"/>
        <v>54912502</v>
      </c>
      <c r="CS12" s="1096">
        <f t="shared" si="0"/>
        <v>55734296</v>
      </c>
      <c r="CT12" s="907">
        <f t="shared" si="5"/>
        <v>58890</v>
      </c>
      <c r="CU12" s="822">
        <f t="shared" si="5"/>
        <v>41312</v>
      </c>
      <c r="CV12" s="822">
        <f t="shared" si="5"/>
        <v>391233</v>
      </c>
      <c r="CW12" s="908">
        <f t="shared" si="5"/>
        <v>321209</v>
      </c>
      <c r="CX12" s="35">
        <f t="shared" si="3"/>
        <v>17962538</v>
      </c>
      <c r="CY12" s="35">
        <f t="shared" si="1"/>
        <v>18522590</v>
      </c>
      <c r="CZ12" s="35">
        <f t="shared" si="1"/>
        <v>55303735</v>
      </c>
      <c r="DA12" s="1096">
        <f t="shared" si="1"/>
        <v>56055505</v>
      </c>
    </row>
    <row r="13" spans="1:105" ht="28.5" x14ac:dyDescent="0.3">
      <c r="A13" s="1087" t="s">
        <v>164</v>
      </c>
      <c r="B13" s="1085">
        <v>111749</v>
      </c>
      <c r="C13" s="814">
        <v>139028</v>
      </c>
      <c r="D13" s="815">
        <v>390808</v>
      </c>
      <c r="E13" s="815">
        <v>370658</v>
      </c>
      <c r="F13" s="45">
        <v>327661</v>
      </c>
      <c r="G13" s="43">
        <v>202348</v>
      </c>
      <c r="H13" s="43">
        <v>912701</v>
      </c>
      <c r="I13" s="48">
        <v>606951</v>
      </c>
      <c r="J13" s="45">
        <v>7042</v>
      </c>
      <c r="K13" s="43">
        <v>12266</v>
      </c>
      <c r="L13" s="43">
        <v>50306</v>
      </c>
      <c r="M13" s="44">
        <v>39926</v>
      </c>
      <c r="N13" s="45">
        <v>96837</v>
      </c>
      <c r="O13" s="43">
        <v>126557</v>
      </c>
      <c r="P13" s="43">
        <v>265446</v>
      </c>
      <c r="Q13" s="48">
        <v>310518</v>
      </c>
      <c r="R13" s="47">
        <v>20277</v>
      </c>
      <c r="S13" s="43">
        <v>208805</v>
      </c>
      <c r="T13" s="43">
        <v>62546</v>
      </c>
      <c r="U13" s="44">
        <v>255173</v>
      </c>
      <c r="V13" s="45">
        <v>22642</v>
      </c>
      <c r="W13" s="43">
        <v>15437</v>
      </c>
      <c r="X13" s="43">
        <v>62710</v>
      </c>
      <c r="Y13" s="44">
        <v>48445</v>
      </c>
      <c r="Z13" s="45">
        <v>479888</v>
      </c>
      <c r="AA13" s="43">
        <v>141728</v>
      </c>
      <c r="AB13" s="43">
        <v>913530</v>
      </c>
      <c r="AC13" s="44">
        <v>372731</v>
      </c>
      <c r="AD13" s="45">
        <v>537052</v>
      </c>
      <c r="AE13" s="43">
        <v>4423</v>
      </c>
      <c r="AF13" s="43">
        <v>1724236</v>
      </c>
      <c r="AG13" s="44">
        <v>17591</v>
      </c>
      <c r="AH13" s="45">
        <v>8111</v>
      </c>
      <c r="AI13" s="43">
        <v>9100</v>
      </c>
      <c r="AJ13" s="43">
        <v>34107</v>
      </c>
      <c r="AK13" s="44">
        <v>27124</v>
      </c>
      <c r="AL13" s="45"/>
      <c r="AM13" s="43"/>
      <c r="AN13" s="43"/>
      <c r="AO13" s="44"/>
      <c r="AP13" s="45">
        <v>20195</v>
      </c>
      <c r="AQ13" s="43">
        <v>7269</v>
      </c>
      <c r="AR13" s="43">
        <v>97999</v>
      </c>
      <c r="AS13" s="44">
        <v>119114</v>
      </c>
      <c r="AT13" s="45">
        <v>101448</v>
      </c>
      <c r="AU13" s="43">
        <v>102008</v>
      </c>
      <c r="AV13" s="43">
        <v>307126</v>
      </c>
      <c r="AW13" s="44">
        <v>295167</v>
      </c>
      <c r="AX13" s="45">
        <v>11817</v>
      </c>
      <c r="AY13" s="43">
        <v>10112</v>
      </c>
      <c r="AZ13" s="43">
        <v>57321</v>
      </c>
      <c r="BA13" s="44">
        <v>27491</v>
      </c>
      <c r="BB13" s="45">
        <v>36997</v>
      </c>
      <c r="BC13" s="43">
        <v>14137</v>
      </c>
      <c r="BD13" s="43">
        <v>257331</v>
      </c>
      <c r="BE13" s="44">
        <v>66729</v>
      </c>
      <c r="BF13" s="45">
        <v>12306</v>
      </c>
      <c r="BG13" s="43">
        <v>10700</v>
      </c>
      <c r="BH13" s="43">
        <v>26928</v>
      </c>
      <c r="BI13" s="44">
        <v>30207</v>
      </c>
      <c r="BJ13" s="45"/>
      <c r="BK13" s="43"/>
      <c r="BL13" s="43"/>
      <c r="BM13" s="44"/>
      <c r="BN13" s="45">
        <v>23188</v>
      </c>
      <c r="BO13" s="43">
        <v>24802</v>
      </c>
      <c r="BP13" s="43">
        <v>65262</v>
      </c>
      <c r="BQ13" s="44">
        <v>58647</v>
      </c>
      <c r="BR13" s="45">
        <v>195155</v>
      </c>
      <c r="BS13" s="43">
        <v>27150</v>
      </c>
      <c r="BT13" s="43">
        <v>303365</v>
      </c>
      <c r="BU13" s="44">
        <v>100341</v>
      </c>
      <c r="BV13" s="817"/>
      <c r="BW13" s="43"/>
      <c r="BX13" s="43"/>
      <c r="BY13" s="44"/>
      <c r="BZ13" s="1111"/>
      <c r="CA13" s="1104"/>
      <c r="CB13" s="1104"/>
      <c r="CC13" s="1112"/>
      <c r="CD13" s="54">
        <v>5625</v>
      </c>
      <c r="CE13" s="55">
        <v>943</v>
      </c>
      <c r="CF13" s="55">
        <v>7155</v>
      </c>
      <c r="CG13" s="56">
        <v>310333</v>
      </c>
      <c r="CH13" s="57">
        <v>15969</v>
      </c>
      <c r="CI13" s="58">
        <v>17952</v>
      </c>
      <c r="CJ13" s="58">
        <v>64963</v>
      </c>
      <c r="CK13" s="59">
        <v>50986</v>
      </c>
      <c r="CL13" s="47">
        <v>25309</v>
      </c>
      <c r="CM13" s="43">
        <v>46570</v>
      </c>
      <c r="CN13" s="43">
        <v>54845</v>
      </c>
      <c r="CO13" s="48">
        <v>80335</v>
      </c>
      <c r="CP13" s="37">
        <f t="shared" si="2"/>
        <v>2059268</v>
      </c>
      <c r="CQ13" s="35">
        <f t="shared" si="0"/>
        <v>1121335</v>
      </c>
      <c r="CR13" s="35">
        <f t="shared" si="0"/>
        <v>5658685</v>
      </c>
      <c r="CS13" s="1096">
        <f t="shared" si="0"/>
        <v>3188467</v>
      </c>
      <c r="CT13" s="818">
        <v>1092</v>
      </c>
      <c r="CU13" s="58">
        <v>1014</v>
      </c>
      <c r="CV13" s="58">
        <v>3181</v>
      </c>
      <c r="CW13" s="59">
        <v>2921</v>
      </c>
      <c r="CX13" s="35">
        <f t="shared" si="3"/>
        <v>2060360</v>
      </c>
      <c r="CY13" s="35">
        <f t="shared" si="1"/>
        <v>1122349</v>
      </c>
      <c r="CZ13" s="35">
        <f t="shared" si="1"/>
        <v>5661866</v>
      </c>
      <c r="DA13" s="1096">
        <f t="shared" si="1"/>
        <v>3191388</v>
      </c>
    </row>
    <row r="14" spans="1:105" x14ac:dyDescent="0.3">
      <c r="A14" s="1087" t="s">
        <v>165</v>
      </c>
      <c r="B14" s="1085"/>
      <c r="C14" s="814"/>
      <c r="D14" s="815"/>
      <c r="E14" s="815"/>
      <c r="F14" s="45"/>
      <c r="G14" s="43"/>
      <c r="H14" s="43"/>
      <c r="I14" s="48"/>
      <c r="J14" s="45"/>
      <c r="L14" s="43"/>
      <c r="M14" s="44"/>
      <c r="N14" s="45"/>
      <c r="O14" s="43"/>
      <c r="P14" s="43"/>
      <c r="Q14" s="48"/>
      <c r="R14" s="47"/>
      <c r="S14" s="43"/>
      <c r="T14" s="43"/>
      <c r="U14" s="44"/>
      <c r="V14" s="45"/>
      <c r="W14" s="43"/>
      <c r="X14" s="43"/>
      <c r="Y14" s="44"/>
      <c r="Z14" s="45"/>
      <c r="AA14" s="43"/>
      <c r="AB14" s="43"/>
      <c r="AC14" s="44"/>
      <c r="AD14" s="45"/>
      <c r="AE14" s="43"/>
      <c r="AF14" s="43"/>
      <c r="AG14" s="44"/>
      <c r="AH14" s="45"/>
      <c r="AI14" s="43"/>
      <c r="AJ14" s="43"/>
      <c r="AK14" s="44"/>
      <c r="AL14" s="45"/>
      <c r="AM14" s="43"/>
      <c r="AN14" s="43"/>
      <c r="AO14" s="44"/>
      <c r="AP14" s="45"/>
      <c r="AQ14" s="43"/>
      <c r="AR14" s="43"/>
      <c r="AS14" s="44"/>
      <c r="AT14" s="45"/>
      <c r="AU14" s="43"/>
      <c r="AV14" s="43"/>
      <c r="AW14" s="44"/>
      <c r="AX14" s="45"/>
      <c r="AY14" s="43"/>
      <c r="AZ14" s="43"/>
      <c r="BA14" s="44"/>
      <c r="BB14" s="45"/>
      <c r="BC14" s="43"/>
      <c r="BD14" s="43"/>
      <c r="BE14" s="44"/>
      <c r="BF14" s="45"/>
      <c r="BG14" s="43"/>
      <c r="BH14" s="43"/>
      <c r="BI14" s="44"/>
      <c r="BJ14" s="45"/>
      <c r="BK14" s="43"/>
      <c r="BL14" s="43"/>
      <c r="BM14" s="44"/>
      <c r="BN14" s="45"/>
      <c r="BO14" s="43"/>
      <c r="BP14" s="43"/>
      <c r="BQ14" s="44"/>
      <c r="BR14" s="45"/>
      <c r="BS14" s="43"/>
      <c r="BT14" s="43"/>
      <c r="BU14" s="44"/>
      <c r="BV14" s="817"/>
      <c r="BW14" s="43"/>
      <c r="BX14" s="43"/>
      <c r="BY14" s="44"/>
      <c r="BZ14" s="1115"/>
      <c r="CA14" s="1106"/>
      <c r="CB14" s="1106"/>
      <c r="CC14" s="1116"/>
      <c r="CD14" s="54"/>
      <c r="CE14" s="55"/>
      <c r="CF14" s="55"/>
      <c r="CG14" s="56"/>
      <c r="CH14" s="57"/>
      <c r="CI14" s="58"/>
      <c r="CJ14" s="58"/>
      <c r="CK14" s="59"/>
      <c r="CL14" s="47"/>
      <c r="CM14" s="43"/>
      <c r="CN14" s="43"/>
      <c r="CO14" s="48"/>
      <c r="CP14" s="37">
        <f t="shared" si="2"/>
        <v>0</v>
      </c>
      <c r="CQ14" s="35">
        <f t="shared" si="0"/>
        <v>0</v>
      </c>
      <c r="CR14" s="35">
        <f t="shared" si="0"/>
        <v>0</v>
      </c>
      <c r="CS14" s="1096">
        <f t="shared" si="0"/>
        <v>0</v>
      </c>
      <c r="CT14" s="818"/>
      <c r="CU14" s="58"/>
      <c r="CV14" s="58"/>
      <c r="CW14" s="59"/>
      <c r="CX14" s="35">
        <f t="shared" si="3"/>
        <v>0</v>
      </c>
      <c r="CY14" s="35">
        <f t="shared" si="1"/>
        <v>0</v>
      </c>
      <c r="CZ14" s="35">
        <f t="shared" si="1"/>
        <v>0</v>
      </c>
      <c r="DA14" s="1096">
        <f t="shared" si="1"/>
        <v>0</v>
      </c>
    </row>
    <row r="15" spans="1:105" x14ac:dyDescent="0.3">
      <c r="A15" s="1087" t="s">
        <v>166</v>
      </c>
      <c r="B15" s="37"/>
      <c r="C15" s="34"/>
      <c r="D15" s="813"/>
      <c r="E15" s="813"/>
      <c r="F15" s="68"/>
      <c r="G15" s="66"/>
      <c r="H15" s="66"/>
      <c r="I15" s="71"/>
      <c r="J15" s="68"/>
      <c r="K15" s="66"/>
      <c r="L15" s="66"/>
      <c r="M15" s="67"/>
      <c r="N15" s="68"/>
      <c r="O15" s="66"/>
      <c r="P15" s="66"/>
      <c r="Q15" s="71"/>
      <c r="R15" s="70"/>
      <c r="S15" s="66"/>
      <c r="T15" s="66"/>
      <c r="U15" s="67"/>
      <c r="V15" s="68"/>
      <c r="W15" s="66"/>
      <c r="X15" s="66"/>
      <c r="Y15" s="67"/>
      <c r="Z15" s="68"/>
      <c r="AA15" s="66"/>
      <c r="AB15" s="66"/>
      <c r="AC15" s="67"/>
      <c r="AD15" s="68"/>
      <c r="AE15" s="66"/>
      <c r="AF15" s="66"/>
      <c r="AG15" s="67"/>
      <c r="AH15" s="68"/>
      <c r="AI15" s="66"/>
      <c r="AJ15" s="66"/>
      <c r="AK15" s="67"/>
      <c r="AL15" s="68"/>
      <c r="AM15" s="66"/>
      <c r="AN15" s="66"/>
      <c r="AO15" s="67"/>
      <c r="AP15" s="68"/>
      <c r="AQ15" s="66"/>
      <c r="AR15" s="66"/>
      <c r="AS15" s="67"/>
      <c r="AT15" s="68"/>
      <c r="AU15" s="66"/>
      <c r="AV15" s="66"/>
      <c r="AW15" s="67"/>
      <c r="AX15" s="162"/>
      <c r="AY15" s="51"/>
      <c r="AZ15" s="51"/>
      <c r="BA15" s="816"/>
      <c r="BB15" s="68"/>
      <c r="BC15" s="66"/>
      <c r="BD15" s="66"/>
      <c r="BE15" s="67"/>
      <c r="BF15" s="820"/>
      <c r="BG15" s="73"/>
      <c r="BH15" s="73"/>
      <c r="BI15" s="821"/>
      <c r="BJ15" s="68"/>
      <c r="BK15" s="66"/>
      <c r="BL15" s="66"/>
      <c r="BM15" s="67"/>
      <c r="BN15" s="68"/>
      <c r="BO15" s="66"/>
      <c r="BP15" s="66"/>
      <c r="BQ15" s="67"/>
      <c r="BR15" s="68"/>
      <c r="BS15" s="66"/>
      <c r="BT15" s="66"/>
      <c r="BU15" s="67"/>
      <c r="BV15" s="817"/>
      <c r="BW15" s="43"/>
      <c r="BX15" s="43"/>
      <c r="BY15" s="44"/>
      <c r="BZ15" s="1113">
        <v>820</v>
      </c>
      <c r="CA15" s="1105">
        <v>625</v>
      </c>
      <c r="CB15" s="1105">
        <v>2375</v>
      </c>
      <c r="CC15" s="1114">
        <v>2312</v>
      </c>
      <c r="CD15" s="54"/>
      <c r="CE15" s="55"/>
      <c r="CF15" s="55"/>
      <c r="CG15" s="56"/>
      <c r="CH15" s="57"/>
      <c r="CI15" s="58"/>
      <c r="CJ15" s="58"/>
      <c r="CK15" s="59"/>
      <c r="CL15" s="70"/>
      <c r="CM15" s="66"/>
      <c r="CN15" s="66"/>
      <c r="CO15" s="71"/>
      <c r="CP15" s="37">
        <f t="shared" si="2"/>
        <v>820</v>
      </c>
      <c r="CQ15" s="35">
        <f t="shared" si="0"/>
        <v>625</v>
      </c>
      <c r="CR15" s="35">
        <f t="shared" si="0"/>
        <v>2375</v>
      </c>
      <c r="CS15" s="1096">
        <f t="shared" si="0"/>
        <v>2312</v>
      </c>
      <c r="CT15" s="68"/>
      <c r="CU15" s="66"/>
      <c r="CV15" s="66"/>
      <c r="CW15" s="71"/>
      <c r="CX15" s="35">
        <f t="shared" si="3"/>
        <v>820</v>
      </c>
      <c r="CY15" s="35">
        <f t="shared" si="1"/>
        <v>625</v>
      </c>
      <c r="CZ15" s="35">
        <f t="shared" si="1"/>
        <v>2375</v>
      </c>
      <c r="DA15" s="1096">
        <f t="shared" si="1"/>
        <v>2312</v>
      </c>
    </row>
    <row r="16" spans="1:105" x14ac:dyDescent="0.3">
      <c r="A16" s="1087" t="s">
        <v>167</v>
      </c>
      <c r="B16" s="1085"/>
      <c r="C16" s="814"/>
      <c r="D16" s="815"/>
      <c r="E16" s="815"/>
      <c r="F16" s="45"/>
      <c r="G16" s="43"/>
      <c r="H16" s="43"/>
      <c r="I16" s="48"/>
      <c r="J16" s="45"/>
      <c r="K16" s="43"/>
      <c r="L16" s="43"/>
      <c r="M16" s="44"/>
      <c r="N16" s="45"/>
      <c r="O16" s="43"/>
      <c r="P16" s="43"/>
      <c r="Q16" s="48"/>
      <c r="R16" s="47"/>
      <c r="S16" s="43"/>
      <c r="T16" s="43"/>
      <c r="U16" s="44"/>
      <c r="V16" s="45"/>
      <c r="W16" s="43"/>
      <c r="X16" s="43"/>
      <c r="Y16" s="44"/>
      <c r="Z16" s="45"/>
      <c r="AA16" s="43"/>
      <c r="AB16" s="43"/>
      <c r="AC16" s="44"/>
      <c r="AD16" s="45"/>
      <c r="AE16" s="43"/>
      <c r="AF16" s="43"/>
      <c r="AG16" s="44"/>
      <c r="AH16" s="45"/>
      <c r="AI16" s="43"/>
      <c r="AJ16" s="43"/>
      <c r="AK16" s="44"/>
      <c r="AL16" s="45"/>
      <c r="AM16" s="43"/>
      <c r="AN16" s="43"/>
      <c r="AO16" s="44"/>
      <c r="AP16" s="45"/>
      <c r="AQ16" s="43"/>
      <c r="AR16" s="43"/>
      <c r="AS16" s="44"/>
      <c r="AT16" s="45"/>
      <c r="AU16" s="43"/>
      <c r="AV16" s="43"/>
      <c r="AW16" s="44"/>
      <c r="AX16" s="162"/>
      <c r="AY16" s="51"/>
      <c r="AZ16" s="51"/>
      <c r="BA16" s="816"/>
      <c r="BB16" s="45"/>
      <c r="BC16" s="43"/>
      <c r="BD16" s="43"/>
      <c r="BE16" s="44"/>
      <c r="BF16" s="45"/>
      <c r="BG16" s="43"/>
      <c r="BH16" s="43"/>
      <c r="BI16" s="44"/>
      <c r="BJ16" s="45"/>
      <c r="BK16" s="43"/>
      <c r="BL16" s="43"/>
      <c r="BM16" s="44"/>
      <c r="BN16" s="45"/>
      <c r="BO16" s="43"/>
      <c r="BP16" s="43"/>
      <c r="BQ16" s="44"/>
      <c r="BR16" s="45"/>
      <c r="BS16" s="43"/>
      <c r="BT16" s="43"/>
      <c r="BU16" s="44"/>
      <c r="BV16" s="817"/>
      <c r="BW16" s="43"/>
      <c r="BX16" s="43"/>
      <c r="BY16" s="44"/>
      <c r="BZ16" s="1113">
        <v>343</v>
      </c>
      <c r="CA16" s="1105">
        <v>238</v>
      </c>
      <c r="CB16" s="1105">
        <v>1085</v>
      </c>
      <c r="CC16" s="1114">
        <v>1205</v>
      </c>
      <c r="CD16" s="54"/>
      <c r="CE16" s="55"/>
      <c r="CF16" s="55"/>
      <c r="CG16" s="56"/>
      <c r="CH16" s="57"/>
      <c r="CI16" s="58"/>
      <c r="CJ16" s="58"/>
      <c r="CK16" s="59"/>
      <c r="CL16" s="47"/>
      <c r="CM16" s="43"/>
      <c r="CN16" s="43"/>
      <c r="CO16" s="48"/>
      <c r="CP16" s="37">
        <f t="shared" si="2"/>
        <v>343</v>
      </c>
      <c r="CQ16" s="35">
        <f t="shared" si="0"/>
        <v>238</v>
      </c>
      <c r="CR16" s="35">
        <f t="shared" si="0"/>
        <v>1085</v>
      </c>
      <c r="CS16" s="1096">
        <f t="shared" si="0"/>
        <v>1205</v>
      </c>
      <c r="CT16" s="45"/>
      <c r="CU16" s="43"/>
      <c r="CV16" s="43"/>
      <c r="CW16" s="48"/>
      <c r="CX16" s="35">
        <f t="shared" si="3"/>
        <v>343</v>
      </c>
      <c r="CY16" s="35">
        <f t="shared" si="1"/>
        <v>238</v>
      </c>
      <c r="CZ16" s="35">
        <f t="shared" si="1"/>
        <v>1085</v>
      </c>
      <c r="DA16" s="1096">
        <f t="shared" si="1"/>
        <v>1205</v>
      </c>
    </row>
    <row r="17" spans="1:105" x14ac:dyDescent="0.3">
      <c r="A17" s="1087" t="s">
        <v>168</v>
      </c>
      <c r="B17" s="1085"/>
      <c r="C17" s="814"/>
      <c r="D17" s="815"/>
      <c r="E17" s="815"/>
      <c r="F17" s="45">
        <v>15321</v>
      </c>
      <c r="G17" s="43"/>
      <c r="H17" s="43">
        <v>20000</v>
      </c>
      <c r="I17" s="48"/>
      <c r="J17" s="45"/>
      <c r="K17" s="43"/>
      <c r="L17" s="43"/>
      <c r="M17" s="44"/>
      <c r="N17" s="45"/>
      <c r="O17" s="43"/>
      <c r="P17" s="43"/>
      <c r="Q17" s="48"/>
      <c r="R17" s="47"/>
      <c r="S17" s="43"/>
      <c r="T17" s="43"/>
      <c r="U17" s="44"/>
      <c r="V17" s="45"/>
      <c r="W17" s="43"/>
      <c r="X17" s="43"/>
      <c r="Y17" s="44"/>
      <c r="Z17" s="45"/>
      <c r="AA17" s="43"/>
      <c r="AB17" s="43"/>
      <c r="AC17" s="44"/>
      <c r="AD17" s="45"/>
      <c r="AE17" s="43"/>
      <c r="AF17" s="43"/>
      <c r="AG17" s="44"/>
      <c r="AH17" s="45"/>
      <c r="AI17" s="43"/>
      <c r="AJ17" s="43"/>
      <c r="AK17" s="44"/>
      <c r="AL17" s="45"/>
      <c r="AM17" s="43"/>
      <c r="AN17" s="43"/>
      <c r="AO17" s="44"/>
      <c r="AP17" s="45"/>
      <c r="AQ17" s="43"/>
      <c r="AR17" s="43"/>
      <c r="AS17" s="44"/>
      <c r="AT17" s="45"/>
      <c r="AU17" s="43"/>
      <c r="AV17" s="43"/>
      <c r="AW17" s="44"/>
      <c r="AX17" s="162"/>
      <c r="AY17" s="51"/>
      <c r="AZ17" s="51"/>
      <c r="BA17" s="816"/>
      <c r="BB17" s="45"/>
      <c r="BC17" s="43"/>
      <c r="BD17" s="43"/>
      <c r="BE17" s="44"/>
      <c r="BF17" s="45"/>
      <c r="BG17" s="43"/>
      <c r="BH17" s="43"/>
      <c r="BI17" s="44"/>
      <c r="BJ17" s="45"/>
      <c r="BK17" s="43"/>
      <c r="BL17" s="43"/>
      <c r="BM17" s="44"/>
      <c r="BN17" s="45"/>
      <c r="BO17" s="43"/>
      <c r="BP17" s="43"/>
      <c r="BQ17" s="44"/>
      <c r="BR17" s="45"/>
      <c r="BS17" s="43"/>
      <c r="BT17" s="43"/>
      <c r="BU17" s="44"/>
      <c r="BV17" s="817"/>
      <c r="BW17" s="43"/>
      <c r="BX17" s="43"/>
      <c r="BY17" s="44"/>
      <c r="BZ17" s="1113">
        <v>2689</v>
      </c>
      <c r="CA17" s="1105">
        <v>755</v>
      </c>
      <c r="CB17" s="1105">
        <v>4199</v>
      </c>
      <c r="CC17" s="1114">
        <v>2265</v>
      </c>
      <c r="CD17" s="54"/>
      <c r="CE17" s="55"/>
      <c r="CF17" s="55"/>
      <c r="CG17" s="56"/>
      <c r="CH17" s="57"/>
      <c r="CI17" s="58"/>
      <c r="CJ17" s="58"/>
      <c r="CK17" s="59"/>
      <c r="CL17" s="47"/>
      <c r="CM17" s="43"/>
      <c r="CN17" s="43"/>
      <c r="CO17" s="48"/>
      <c r="CP17" s="37">
        <f t="shared" si="2"/>
        <v>18010</v>
      </c>
      <c r="CQ17" s="35">
        <f t="shared" si="0"/>
        <v>755</v>
      </c>
      <c r="CR17" s="35">
        <f t="shared" si="0"/>
        <v>24199</v>
      </c>
      <c r="CS17" s="1096">
        <f t="shared" si="0"/>
        <v>2265</v>
      </c>
      <c r="CT17" s="45"/>
      <c r="CU17" s="43"/>
      <c r="CV17" s="43"/>
      <c r="CW17" s="48"/>
      <c r="CX17" s="35">
        <f t="shared" si="3"/>
        <v>18010</v>
      </c>
      <c r="CY17" s="35">
        <f t="shared" si="1"/>
        <v>755</v>
      </c>
      <c r="CZ17" s="35">
        <f t="shared" si="1"/>
        <v>24199</v>
      </c>
      <c r="DA17" s="1096">
        <f t="shared" si="1"/>
        <v>2265</v>
      </c>
    </row>
    <row r="18" spans="1:105" x14ac:dyDescent="0.3">
      <c r="A18" s="1087" t="s">
        <v>169</v>
      </c>
      <c r="B18" s="1085"/>
      <c r="C18" s="814"/>
      <c r="D18" s="815"/>
      <c r="E18" s="815"/>
      <c r="F18" s="45"/>
      <c r="G18" s="43"/>
      <c r="H18" s="43"/>
      <c r="I18" s="48"/>
      <c r="J18" s="45"/>
      <c r="K18" s="43"/>
      <c r="L18" s="43"/>
      <c r="M18" s="44"/>
      <c r="N18" s="45"/>
      <c r="O18" s="43"/>
      <c r="P18" s="43"/>
      <c r="Q18" s="48"/>
      <c r="R18" s="47"/>
      <c r="S18" s="43"/>
      <c r="T18" s="43"/>
      <c r="U18" s="44"/>
      <c r="V18" s="45"/>
      <c r="W18" s="43"/>
      <c r="X18" s="43"/>
      <c r="Y18" s="44"/>
      <c r="Z18" s="45">
        <v>50747</v>
      </c>
      <c r="AA18" s="43">
        <v>574666</v>
      </c>
      <c r="AB18" s="43">
        <v>1488669</v>
      </c>
      <c r="AC18" s="44">
        <v>1603179</v>
      </c>
      <c r="AD18" s="45"/>
      <c r="AE18" s="43"/>
      <c r="AF18" s="43"/>
      <c r="AG18" s="44"/>
      <c r="AH18" s="45"/>
      <c r="AI18" s="43"/>
      <c r="AJ18" s="43"/>
      <c r="AK18" s="44"/>
      <c r="AL18" s="45">
        <f>2510+6061</f>
        <v>8571</v>
      </c>
      <c r="AM18" s="43">
        <f>4279+7382</f>
        <v>11661</v>
      </c>
      <c r="AN18" s="43">
        <f>8196+13291</f>
        <v>21487</v>
      </c>
      <c r="AO18" s="44">
        <f>14292+13363</f>
        <v>27655</v>
      </c>
      <c r="AP18" s="45"/>
      <c r="AQ18" s="43"/>
      <c r="AR18" s="43"/>
      <c r="AS18" s="44"/>
      <c r="AT18" s="45"/>
      <c r="AU18" s="43"/>
      <c r="AV18" s="43"/>
      <c r="AW18" s="44"/>
      <c r="AX18" s="162"/>
      <c r="AY18" s="51"/>
      <c r="AZ18" s="51"/>
      <c r="BA18" s="816"/>
      <c r="BB18" s="45"/>
      <c r="BC18" s="43"/>
      <c r="BD18" s="43"/>
      <c r="BE18" s="44"/>
      <c r="BF18" s="45"/>
      <c r="BG18" s="43"/>
      <c r="BH18" s="43"/>
      <c r="BI18" s="44"/>
      <c r="BJ18" s="45">
        <f>66878+56+133+3545</f>
        <v>70612</v>
      </c>
      <c r="BK18" s="43">
        <f>-196191+300+316</f>
        <v>-195575</v>
      </c>
      <c r="BL18" s="43">
        <f>74405+543+666+13452</f>
        <v>89066</v>
      </c>
      <c r="BM18" s="44">
        <f>-86765+873+518-30346</f>
        <v>-115720</v>
      </c>
      <c r="BN18" s="45"/>
      <c r="BO18" s="43"/>
      <c r="BP18" s="43"/>
      <c r="BQ18" s="44"/>
      <c r="BR18" s="45"/>
      <c r="BS18" s="43"/>
      <c r="BT18" s="43"/>
      <c r="BU18" s="44"/>
      <c r="BV18" s="817"/>
      <c r="BW18" s="43"/>
      <c r="BX18" s="43"/>
      <c r="BY18" s="44"/>
      <c r="BZ18" s="1113">
        <v>17880</v>
      </c>
      <c r="CA18" s="1105">
        <v>41523</v>
      </c>
      <c r="CB18" s="1105">
        <v>73097</v>
      </c>
      <c r="CC18" s="1114">
        <v>130777</v>
      </c>
      <c r="CD18" s="54"/>
      <c r="CE18" s="55"/>
      <c r="CF18" s="55"/>
      <c r="CG18" s="56"/>
      <c r="CH18" s="57"/>
      <c r="CI18" s="58"/>
      <c r="CJ18" s="58"/>
      <c r="CK18" s="59"/>
      <c r="CL18" s="47"/>
      <c r="CM18" s="43"/>
      <c r="CN18" s="43"/>
      <c r="CO18" s="48"/>
      <c r="CP18" s="37">
        <f t="shared" si="2"/>
        <v>147810</v>
      </c>
      <c r="CQ18" s="35">
        <f t="shared" si="0"/>
        <v>432275</v>
      </c>
      <c r="CR18" s="35">
        <f t="shared" si="0"/>
        <v>1672319</v>
      </c>
      <c r="CS18" s="1096">
        <f t="shared" si="0"/>
        <v>1645891</v>
      </c>
      <c r="CT18" s="45"/>
      <c r="CU18" s="43"/>
      <c r="CV18" s="43"/>
      <c r="CW18" s="48"/>
      <c r="CX18" s="35">
        <f t="shared" si="3"/>
        <v>147810</v>
      </c>
      <c r="CY18" s="35">
        <f t="shared" si="1"/>
        <v>432275</v>
      </c>
      <c r="CZ18" s="35">
        <f t="shared" si="1"/>
        <v>1672319</v>
      </c>
      <c r="DA18" s="1096">
        <f t="shared" si="1"/>
        <v>1645891</v>
      </c>
    </row>
    <row r="19" spans="1:105" x14ac:dyDescent="0.3">
      <c r="A19" s="1087" t="s">
        <v>170</v>
      </c>
      <c r="B19" s="1085">
        <v>10099</v>
      </c>
      <c r="C19" s="814">
        <v>4524</v>
      </c>
      <c r="D19" s="815">
        <v>18748</v>
      </c>
      <c r="E19" s="815">
        <v>13725</v>
      </c>
      <c r="F19" s="45"/>
      <c r="G19" s="43"/>
      <c r="H19" s="43"/>
      <c r="I19" s="48"/>
      <c r="J19" s="45"/>
      <c r="K19" s="43"/>
      <c r="L19" s="43"/>
      <c r="M19" s="44"/>
      <c r="N19" s="45"/>
      <c r="O19" s="43"/>
      <c r="P19" s="43"/>
      <c r="Q19" s="48"/>
      <c r="R19" s="47"/>
      <c r="S19" s="43"/>
      <c r="T19" s="43"/>
      <c r="U19" s="44"/>
      <c r="V19" s="45"/>
      <c r="W19" s="43"/>
      <c r="X19" s="43"/>
      <c r="Y19" s="44"/>
      <c r="Z19" s="45"/>
      <c r="AA19" s="43"/>
      <c r="AB19" s="43"/>
      <c r="AC19" s="44"/>
      <c r="AD19" s="45"/>
      <c r="AE19" s="43"/>
      <c r="AF19" s="43"/>
      <c r="AG19" s="44"/>
      <c r="AH19" s="45">
        <v>9720</v>
      </c>
      <c r="AI19" s="43">
        <v>11650</v>
      </c>
      <c r="AJ19" s="43">
        <v>9720</v>
      </c>
      <c r="AK19" s="44">
        <v>11650</v>
      </c>
      <c r="AL19" s="45"/>
      <c r="AM19" s="43"/>
      <c r="AN19" s="43"/>
      <c r="AO19" s="44"/>
      <c r="AP19" s="45"/>
      <c r="AQ19" s="43"/>
      <c r="AR19" s="43"/>
      <c r="AS19" s="44"/>
      <c r="AT19" s="45"/>
      <c r="AU19" s="43"/>
      <c r="AV19" s="43"/>
      <c r="AW19" s="44"/>
      <c r="AX19" s="162"/>
      <c r="AY19" s="51"/>
      <c r="AZ19" s="51"/>
      <c r="BA19" s="816"/>
      <c r="BB19" s="45"/>
      <c r="BC19" s="43"/>
      <c r="BD19" s="43"/>
      <c r="BE19" s="44"/>
      <c r="BF19" s="45"/>
      <c r="BG19" s="43">
        <v>10000</v>
      </c>
      <c r="BH19" s="43"/>
      <c r="BI19" s="44">
        <v>10000</v>
      </c>
      <c r="BJ19" s="45">
        <v>31622</v>
      </c>
      <c r="BK19" s="43">
        <v>29847</v>
      </c>
      <c r="BL19" s="43">
        <v>97010</v>
      </c>
      <c r="BM19" s="44">
        <v>88069</v>
      </c>
      <c r="BN19" s="45"/>
      <c r="BO19" s="43"/>
      <c r="BP19" s="43"/>
      <c r="BQ19" s="44"/>
      <c r="BR19" s="45"/>
      <c r="BS19" s="43"/>
      <c r="BT19" s="43"/>
      <c r="BU19" s="44"/>
      <c r="BV19" s="817"/>
      <c r="BW19" s="43"/>
      <c r="BX19" s="43"/>
      <c r="BY19" s="44"/>
      <c r="BZ19" s="1113">
        <v>46032</v>
      </c>
      <c r="CA19" s="1105">
        <v>38080</v>
      </c>
      <c r="CB19" s="1105">
        <v>138096</v>
      </c>
      <c r="CC19" s="1114">
        <v>113983</v>
      </c>
      <c r="CD19" s="54">
        <v>4000</v>
      </c>
      <c r="CE19" s="55">
        <v>2500</v>
      </c>
      <c r="CF19" s="55">
        <v>4700</v>
      </c>
      <c r="CG19" s="56">
        <v>3600</v>
      </c>
      <c r="CH19" s="57">
        <v>6374</v>
      </c>
      <c r="CI19" s="58">
        <v>3500</v>
      </c>
      <c r="CJ19" s="58">
        <v>16874</v>
      </c>
      <c r="CK19" s="59">
        <v>10500</v>
      </c>
      <c r="CL19" s="47">
        <v>269</v>
      </c>
      <c r="CM19" s="43">
        <v>560</v>
      </c>
      <c r="CN19" s="43">
        <v>861</v>
      </c>
      <c r="CO19" s="48">
        <v>1893</v>
      </c>
      <c r="CP19" s="37">
        <f t="shared" si="2"/>
        <v>108116</v>
      </c>
      <c r="CQ19" s="35">
        <f t="shared" si="0"/>
        <v>100661</v>
      </c>
      <c r="CR19" s="35">
        <f t="shared" si="0"/>
        <v>286009</v>
      </c>
      <c r="CS19" s="1096">
        <f t="shared" si="0"/>
        <v>253420</v>
      </c>
      <c r="CT19" s="45"/>
      <c r="CU19" s="43"/>
      <c r="CV19" s="43"/>
      <c r="CW19" s="48"/>
      <c r="CX19" s="35">
        <f t="shared" si="3"/>
        <v>108116</v>
      </c>
      <c r="CY19" s="35">
        <f t="shared" si="1"/>
        <v>100661</v>
      </c>
      <c r="CZ19" s="35">
        <f t="shared" si="1"/>
        <v>286009</v>
      </c>
      <c r="DA19" s="1096">
        <f t="shared" si="1"/>
        <v>253420</v>
      </c>
    </row>
    <row r="20" spans="1:105" x14ac:dyDescent="0.3">
      <c r="A20" s="1087" t="s">
        <v>171</v>
      </c>
      <c r="B20" s="37"/>
      <c r="C20" s="34"/>
      <c r="D20" s="813"/>
      <c r="E20" s="813"/>
      <c r="F20" s="68"/>
      <c r="G20" s="66"/>
      <c r="H20" s="66"/>
      <c r="I20" s="71"/>
      <c r="J20" s="68"/>
      <c r="K20" s="66"/>
      <c r="L20" s="66"/>
      <c r="M20" s="67"/>
      <c r="N20" s="68"/>
      <c r="O20" s="66"/>
      <c r="P20" s="66"/>
      <c r="Q20" s="71"/>
      <c r="R20" s="70"/>
      <c r="S20" s="66"/>
      <c r="T20" s="66"/>
      <c r="U20" s="67"/>
      <c r="V20" s="68">
        <v>-11</v>
      </c>
      <c r="W20" s="66">
        <v>196</v>
      </c>
      <c r="X20" s="66">
        <v>2031</v>
      </c>
      <c r="Y20" s="67">
        <v>228</v>
      </c>
      <c r="Z20" s="68"/>
      <c r="AA20" s="66"/>
      <c r="AB20" s="66"/>
      <c r="AC20" s="67"/>
      <c r="AD20" s="68"/>
      <c r="AE20" s="66"/>
      <c r="AF20" s="66"/>
      <c r="AG20" s="67"/>
      <c r="AH20" s="68"/>
      <c r="AI20" s="66"/>
      <c r="AJ20" s="66"/>
      <c r="AK20" s="67"/>
      <c r="AL20" s="68"/>
      <c r="AM20" s="66"/>
      <c r="AN20" s="66"/>
      <c r="AO20" s="67"/>
      <c r="AP20" s="68"/>
      <c r="AQ20" s="66"/>
      <c r="AR20" s="66"/>
      <c r="AS20" s="67"/>
      <c r="AT20" s="68"/>
      <c r="AU20" s="66"/>
      <c r="AV20" s="66"/>
      <c r="AW20" s="67"/>
      <c r="AX20" s="162"/>
      <c r="AY20" s="51"/>
      <c r="AZ20" s="51"/>
      <c r="BA20" s="816"/>
      <c r="BB20" s="68"/>
      <c r="BC20" s="66"/>
      <c r="BD20" s="66"/>
      <c r="BE20" s="67"/>
      <c r="BF20" s="820"/>
      <c r="BG20" s="73"/>
      <c r="BH20" s="73"/>
      <c r="BI20" s="821"/>
      <c r="BJ20" s="68"/>
      <c r="BK20" s="66"/>
      <c r="BL20" s="66"/>
      <c r="BM20" s="67"/>
      <c r="BN20" s="68"/>
      <c r="BO20" s="66"/>
      <c r="BP20" s="66"/>
      <c r="BQ20" s="67"/>
      <c r="BR20" s="68"/>
      <c r="BS20" s="66">
        <v>50916</v>
      </c>
      <c r="BT20" s="66"/>
      <c r="BU20" s="67">
        <v>316421</v>
      </c>
      <c r="BV20" s="817"/>
      <c r="BW20" s="43"/>
      <c r="BX20" s="43"/>
      <c r="BY20" s="44"/>
      <c r="BZ20" s="1115"/>
      <c r="CA20" s="1106"/>
      <c r="CB20" s="1106"/>
      <c r="CC20" s="1116"/>
      <c r="CD20" s="54"/>
      <c r="CE20" s="55"/>
      <c r="CF20" s="55"/>
      <c r="CG20" s="56"/>
      <c r="CH20" s="57"/>
      <c r="CI20" s="58"/>
      <c r="CJ20" s="58">
        <v>41</v>
      </c>
      <c r="CK20" s="59"/>
      <c r="CL20" s="70">
        <v>-589</v>
      </c>
      <c r="CM20" s="66"/>
      <c r="CN20" s="66">
        <v>41445</v>
      </c>
      <c r="CO20" s="71"/>
      <c r="CP20" s="37">
        <f t="shared" si="2"/>
        <v>-600</v>
      </c>
      <c r="CQ20" s="35">
        <f t="shared" si="0"/>
        <v>51112</v>
      </c>
      <c r="CR20" s="35">
        <f t="shared" si="0"/>
        <v>43517</v>
      </c>
      <c r="CS20" s="1096">
        <f t="shared" si="0"/>
        <v>316649</v>
      </c>
      <c r="CT20" s="68"/>
      <c r="CU20" s="66"/>
      <c r="CV20" s="66"/>
      <c r="CW20" s="71"/>
      <c r="CX20" s="35">
        <f t="shared" si="3"/>
        <v>-600</v>
      </c>
      <c r="CY20" s="35">
        <f t="shared" si="1"/>
        <v>51112</v>
      </c>
      <c r="CZ20" s="35">
        <f t="shared" si="1"/>
        <v>43517</v>
      </c>
      <c r="DA20" s="1096">
        <f t="shared" si="1"/>
        <v>316649</v>
      </c>
    </row>
    <row r="21" spans="1:105" x14ac:dyDescent="0.3">
      <c r="A21" s="1087" t="s">
        <v>172</v>
      </c>
      <c r="B21" s="1085">
        <v>585550</v>
      </c>
      <c r="C21" s="814">
        <v>872925</v>
      </c>
      <c r="D21" s="815">
        <v>1770620</v>
      </c>
      <c r="E21" s="815">
        <v>1791207</v>
      </c>
      <c r="F21" s="45"/>
      <c r="G21" s="43"/>
      <c r="H21" s="43"/>
      <c r="I21" s="48"/>
      <c r="J21" s="45">
        <v>1597</v>
      </c>
      <c r="K21" s="43">
        <v>193577</v>
      </c>
      <c r="L21" s="43">
        <v>313303</v>
      </c>
      <c r="M21" s="44">
        <v>960522</v>
      </c>
      <c r="N21" s="45">
        <v>410189</v>
      </c>
      <c r="O21" s="43">
        <v>238143</v>
      </c>
      <c r="P21" s="43">
        <v>730967</v>
      </c>
      <c r="Q21" s="48">
        <v>248842</v>
      </c>
      <c r="R21" s="47"/>
      <c r="S21" s="43"/>
      <c r="T21" s="43"/>
      <c r="U21" s="44"/>
      <c r="V21" s="45">
        <f>14487+129-175+5035+5988</f>
        <v>25464</v>
      </c>
      <c r="W21" s="75">
        <f>6370+1190+1294</f>
        <v>8854</v>
      </c>
      <c r="X21" s="43">
        <f>18219+3249+169+5035+21403</f>
        <v>48075</v>
      </c>
      <c r="Y21" s="44">
        <f>6370+3819+1294</f>
        <v>11483</v>
      </c>
      <c r="Z21" s="75">
        <v>27129</v>
      </c>
      <c r="AA21" s="75">
        <v>106278</v>
      </c>
      <c r="AB21" s="75">
        <v>95216</v>
      </c>
      <c r="AC21" s="44">
        <v>240578</v>
      </c>
      <c r="AD21" s="45">
        <v>152657</v>
      </c>
      <c r="AE21" s="43">
        <v>813824</v>
      </c>
      <c r="AF21" s="43">
        <v>815747</v>
      </c>
      <c r="AG21" s="44">
        <v>1964077</v>
      </c>
      <c r="AH21" s="45">
        <v>318955</v>
      </c>
      <c r="AI21" s="43">
        <v>188435</v>
      </c>
      <c r="AJ21" s="43">
        <v>1169192</v>
      </c>
      <c r="AK21" s="44">
        <v>599176</v>
      </c>
      <c r="AL21" s="45">
        <v>458551</v>
      </c>
      <c r="AM21" s="43">
        <v>664316</v>
      </c>
      <c r="AN21" s="43">
        <v>1437636</v>
      </c>
      <c r="AO21" s="44">
        <v>1596877</v>
      </c>
      <c r="AP21" s="45">
        <v>-67806</v>
      </c>
      <c r="AQ21" s="43">
        <v>-48511</v>
      </c>
      <c r="AR21" s="43">
        <v>108392</v>
      </c>
      <c r="AS21" s="44">
        <v>25698</v>
      </c>
      <c r="AT21" s="45">
        <v>980850</v>
      </c>
      <c r="AU21" s="43"/>
      <c r="AV21" s="43">
        <v>1698211</v>
      </c>
      <c r="AW21" s="44"/>
      <c r="AX21" s="162"/>
      <c r="AY21" s="51"/>
      <c r="AZ21" s="51"/>
      <c r="BA21" s="816"/>
      <c r="BB21" s="45">
        <v>79821</v>
      </c>
      <c r="BC21" s="43">
        <v>87218</v>
      </c>
      <c r="BD21" s="43">
        <v>604392</v>
      </c>
      <c r="BE21" s="44">
        <v>415946</v>
      </c>
      <c r="BF21" s="45">
        <v>34026</v>
      </c>
      <c r="BG21" s="43">
        <v>6753</v>
      </c>
      <c r="BH21" s="43">
        <v>111565</v>
      </c>
      <c r="BI21" s="44">
        <v>24196</v>
      </c>
      <c r="BJ21" s="45"/>
      <c r="BK21" s="43">
        <v>-13169</v>
      </c>
      <c r="BL21" s="43"/>
      <c r="BM21" s="44">
        <v>3561</v>
      </c>
      <c r="BN21" s="45">
        <v>151925</v>
      </c>
      <c r="BO21" s="43">
        <v>44526</v>
      </c>
      <c r="BP21" s="43">
        <v>375172</v>
      </c>
      <c r="BQ21" s="44">
        <v>270127</v>
      </c>
      <c r="BR21" s="45">
        <v>48890</v>
      </c>
      <c r="BS21" s="43">
        <v>330590</v>
      </c>
      <c r="BT21" s="43">
        <v>587884</v>
      </c>
      <c r="BU21" s="44">
        <v>947890</v>
      </c>
      <c r="BV21" s="817"/>
      <c r="BW21" s="43"/>
      <c r="BX21" s="43"/>
      <c r="BY21" s="44"/>
      <c r="BZ21" s="1115"/>
      <c r="CA21" s="1106"/>
      <c r="CB21" s="1106"/>
      <c r="CC21" s="1116"/>
      <c r="CD21" s="54">
        <v>1884</v>
      </c>
      <c r="CE21" s="55">
        <v>-2399</v>
      </c>
      <c r="CF21" s="55">
        <v>1884</v>
      </c>
      <c r="CG21" s="56">
        <v>14722</v>
      </c>
      <c r="CH21" s="57">
        <f>-39632-5044+31095</f>
        <v>-13581</v>
      </c>
      <c r="CI21" s="58">
        <f>-58369-157383-329-34739-5418+44461</f>
        <v>-211777</v>
      </c>
      <c r="CJ21" s="58">
        <v>139357</v>
      </c>
      <c r="CK21" s="59">
        <f>6666+18308+104360</f>
        <v>129334</v>
      </c>
      <c r="CL21" s="47">
        <v>-440503</v>
      </c>
      <c r="CM21" s="43">
        <v>-248209</v>
      </c>
      <c r="CN21" s="43">
        <v>736349</v>
      </c>
      <c r="CO21" s="48">
        <v>764861</v>
      </c>
      <c r="CP21" s="37">
        <f t="shared" si="2"/>
        <v>2755598</v>
      </c>
      <c r="CQ21" s="35">
        <f t="shared" si="2"/>
        <v>3031374</v>
      </c>
      <c r="CR21" s="35">
        <f t="shared" si="2"/>
        <v>10743962</v>
      </c>
      <c r="CS21" s="1096">
        <f t="shared" si="2"/>
        <v>10009097</v>
      </c>
      <c r="CT21" s="818"/>
      <c r="CU21" s="58"/>
      <c r="CV21" s="58"/>
      <c r="CW21" s="59"/>
      <c r="CX21" s="35">
        <f t="shared" si="3"/>
        <v>2755598</v>
      </c>
      <c r="CY21" s="35">
        <f t="shared" si="3"/>
        <v>3031374</v>
      </c>
      <c r="CZ21" s="35">
        <f t="shared" si="3"/>
        <v>10743962</v>
      </c>
      <c r="DA21" s="1096">
        <f t="shared" si="3"/>
        <v>10009097</v>
      </c>
    </row>
    <row r="22" spans="1:105" x14ac:dyDescent="0.3">
      <c r="A22" s="1087" t="s">
        <v>173</v>
      </c>
      <c r="B22" s="1085"/>
      <c r="C22" s="814"/>
      <c r="D22" s="815"/>
      <c r="E22" s="815"/>
      <c r="F22" s="45"/>
      <c r="G22" s="43"/>
      <c r="H22" s="43"/>
      <c r="I22" s="48"/>
      <c r="J22" s="45"/>
      <c r="K22" s="43"/>
      <c r="L22" s="43"/>
      <c r="M22" s="44"/>
      <c r="N22" s="45"/>
      <c r="O22" s="43"/>
      <c r="P22" s="43"/>
      <c r="Q22" s="48"/>
      <c r="R22" s="47"/>
      <c r="S22" s="43"/>
      <c r="T22" s="43"/>
      <c r="U22" s="44"/>
      <c r="V22" s="45"/>
      <c r="W22" s="43"/>
      <c r="X22" s="43"/>
      <c r="Y22" s="44"/>
      <c r="Z22" s="45"/>
      <c r="AA22" s="43"/>
      <c r="AB22" s="43"/>
      <c r="AC22" s="44"/>
      <c r="AD22" s="45"/>
      <c r="AE22" s="43"/>
      <c r="AF22" s="43"/>
      <c r="AG22" s="44"/>
      <c r="AH22" s="45"/>
      <c r="AI22" s="43"/>
      <c r="AJ22" s="43"/>
      <c r="AK22" s="44"/>
      <c r="AL22" s="45"/>
      <c r="AM22" s="43"/>
      <c r="AN22" s="43"/>
      <c r="AO22" s="44"/>
      <c r="AP22" s="45"/>
      <c r="AQ22" s="43">
        <v>52</v>
      </c>
      <c r="AR22" s="43"/>
      <c r="AS22" s="44"/>
      <c r="AT22" s="45"/>
      <c r="AU22" s="43"/>
      <c r="AV22" s="43"/>
      <c r="AW22" s="44"/>
      <c r="AX22" s="162"/>
      <c r="AY22" s="51"/>
      <c r="AZ22" s="51"/>
      <c r="BA22" s="816"/>
      <c r="BB22" s="45"/>
      <c r="BC22" s="43"/>
      <c r="BD22" s="43"/>
      <c r="BE22" s="44"/>
      <c r="BF22" s="45"/>
      <c r="BG22" s="43"/>
      <c r="BH22" s="43"/>
      <c r="BI22" s="44"/>
      <c r="BJ22" s="45"/>
      <c r="BK22" s="43"/>
      <c r="BL22" s="43"/>
      <c r="BM22" s="44"/>
      <c r="BN22" s="45"/>
      <c r="BO22" s="43"/>
      <c r="BP22" s="43"/>
      <c r="BQ22" s="44"/>
      <c r="BR22" s="45"/>
      <c r="BS22" s="43"/>
      <c r="BT22" s="43"/>
      <c r="BU22" s="44"/>
      <c r="BV22" s="817"/>
      <c r="BW22" s="43"/>
      <c r="BX22" s="43"/>
      <c r="BY22" s="44"/>
      <c r="BZ22" s="1111"/>
      <c r="CA22" s="1104"/>
      <c r="CB22" s="1104"/>
      <c r="CC22" s="1112"/>
      <c r="CD22" s="54"/>
      <c r="CE22" s="55"/>
      <c r="CF22" s="55"/>
      <c r="CG22" s="56"/>
      <c r="CH22" s="57"/>
      <c r="CI22" s="58"/>
      <c r="CJ22" s="58"/>
      <c r="CK22" s="59"/>
      <c r="CL22" s="47"/>
      <c r="CM22" s="43"/>
      <c r="CN22" s="43"/>
      <c r="CO22" s="48"/>
      <c r="CP22" s="37">
        <f t="shared" si="2"/>
        <v>0</v>
      </c>
      <c r="CQ22" s="35">
        <f t="shared" si="2"/>
        <v>52</v>
      </c>
      <c r="CR22" s="35">
        <f t="shared" si="2"/>
        <v>0</v>
      </c>
      <c r="CS22" s="1096">
        <f t="shared" si="2"/>
        <v>0</v>
      </c>
      <c r="CT22" s="818"/>
      <c r="CU22" s="58"/>
      <c r="CV22" s="58"/>
      <c r="CW22" s="59"/>
      <c r="CX22" s="35">
        <f t="shared" si="3"/>
        <v>0</v>
      </c>
      <c r="CY22" s="35">
        <f t="shared" si="3"/>
        <v>52</v>
      </c>
      <c r="CZ22" s="35">
        <f t="shared" si="3"/>
        <v>0</v>
      </c>
      <c r="DA22" s="1096">
        <f t="shared" si="3"/>
        <v>0</v>
      </c>
    </row>
    <row r="23" spans="1:105" x14ac:dyDescent="0.3">
      <c r="A23" s="1087" t="s">
        <v>174</v>
      </c>
      <c r="B23" s="1085"/>
      <c r="C23" s="814"/>
      <c r="D23" s="815"/>
      <c r="E23" s="815">
        <v>6499</v>
      </c>
      <c r="F23" s="45"/>
      <c r="G23" s="43"/>
      <c r="H23" s="43"/>
      <c r="I23" s="48"/>
      <c r="J23" s="45"/>
      <c r="K23" s="43"/>
      <c r="L23" s="43"/>
      <c r="M23" s="44"/>
      <c r="N23" s="45">
        <v>821246</v>
      </c>
      <c r="O23" s="43"/>
      <c r="P23" s="43">
        <v>945348</v>
      </c>
      <c r="Q23" s="48"/>
      <c r="R23" s="47"/>
      <c r="S23" s="43"/>
      <c r="T23" s="43"/>
      <c r="U23" s="44"/>
      <c r="V23" s="45"/>
      <c r="W23" s="43"/>
      <c r="X23" s="43">
        <v>185559</v>
      </c>
      <c r="Y23" s="44"/>
      <c r="Z23" s="45">
        <v>85512</v>
      </c>
      <c r="AA23" s="43"/>
      <c r="AB23" s="43">
        <v>85512</v>
      </c>
      <c r="AC23" s="44"/>
      <c r="AD23" s="45"/>
      <c r="AE23" s="43"/>
      <c r="AF23" s="43"/>
      <c r="AG23" s="44"/>
      <c r="AH23" s="45"/>
      <c r="AI23" s="43"/>
      <c r="AJ23" s="43"/>
      <c r="AK23" s="44"/>
      <c r="AL23" s="45"/>
      <c r="AM23" s="43"/>
      <c r="AN23" s="43"/>
      <c r="AO23" s="44"/>
      <c r="AP23" s="45">
        <v>86836</v>
      </c>
      <c r="AQ23" s="43">
        <v>-4031</v>
      </c>
      <c r="AR23" s="43">
        <v>106232</v>
      </c>
      <c r="AS23" s="44">
        <v>-6692</v>
      </c>
      <c r="AT23" s="45"/>
      <c r="AU23" s="43"/>
      <c r="AV23" s="43"/>
      <c r="AW23" s="44"/>
      <c r="AX23" s="162">
        <v>101131</v>
      </c>
      <c r="AY23" s="51"/>
      <c r="AZ23" s="51">
        <v>101131</v>
      </c>
      <c r="BA23" s="816"/>
      <c r="BB23" s="45"/>
      <c r="BC23" s="43"/>
      <c r="BD23" s="43"/>
      <c r="BE23" s="44"/>
      <c r="BF23" s="45">
        <v>-44</v>
      </c>
      <c r="BG23" s="43"/>
      <c r="BH23" s="43">
        <v>1281</v>
      </c>
      <c r="BI23" s="44"/>
      <c r="BJ23" s="45"/>
      <c r="BK23" s="43"/>
      <c r="BL23" s="43"/>
      <c r="BM23" s="44"/>
      <c r="BN23" s="45"/>
      <c r="BO23" s="43"/>
      <c r="BP23" s="43"/>
      <c r="BQ23" s="44"/>
      <c r="BR23" s="45"/>
      <c r="BS23" s="43"/>
      <c r="BT23" s="43"/>
      <c r="BU23" s="44"/>
      <c r="BV23" s="817"/>
      <c r="BW23" s="43"/>
      <c r="BX23" s="43"/>
      <c r="BY23" s="44"/>
      <c r="BZ23" s="1113">
        <v>156731</v>
      </c>
      <c r="CA23" s="1105">
        <v>-16308</v>
      </c>
      <c r="CB23" s="1105">
        <v>149339</v>
      </c>
      <c r="CC23" s="1114">
        <v>1524</v>
      </c>
      <c r="CD23" s="54">
        <v>16500</v>
      </c>
      <c r="CE23" s="55"/>
      <c r="CF23" s="55">
        <v>16500</v>
      </c>
      <c r="CG23" s="56"/>
      <c r="CH23" s="57">
        <v>31200</v>
      </c>
      <c r="CI23" s="58"/>
      <c r="CJ23" s="58">
        <v>31200</v>
      </c>
      <c r="CK23" s="59"/>
      <c r="CL23" s="47"/>
      <c r="CM23" s="43"/>
      <c r="CN23" s="43"/>
      <c r="CO23" s="48"/>
      <c r="CP23" s="37">
        <f t="shared" si="2"/>
        <v>1299112</v>
      </c>
      <c r="CQ23" s="35">
        <f t="shared" si="2"/>
        <v>-20339</v>
      </c>
      <c r="CR23" s="35">
        <f t="shared" si="2"/>
        <v>1622102</v>
      </c>
      <c r="CS23" s="1096">
        <f t="shared" si="2"/>
        <v>1331</v>
      </c>
      <c r="CT23" s="818"/>
      <c r="CU23" s="58"/>
      <c r="CV23" s="58"/>
      <c r="CW23" s="59"/>
      <c r="CX23" s="35">
        <f t="shared" si="3"/>
        <v>1299112</v>
      </c>
      <c r="CY23" s="35">
        <f t="shared" si="3"/>
        <v>-20339</v>
      </c>
      <c r="CZ23" s="35">
        <f t="shared" si="3"/>
        <v>1622102</v>
      </c>
      <c r="DA23" s="1096">
        <f t="shared" si="3"/>
        <v>1331</v>
      </c>
    </row>
    <row r="24" spans="1:105" x14ac:dyDescent="0.3">
      <c r="A24" s="1087" t="s">
        <v>175</v>
      </c>
      <c r="B24" s="1085"/>
      <c r="C24" s="814"/>
      <c r="D24" s="815"/>
      <c r="E24" s="815"/>
      <c r="F24" s="45"/>
      <c r="G24" s="43"/>
      <c r="H24" s="43">
        <v>7</v>
      </c>
      <c r="I24" s="48"/>
      <c r="J24" s="45"/>
      <c r="K24" s="43"/>
      <c r="L24" s="43"/>
      <c r="M24" s="44"/>
      <c r="N24" s="45"/>
      <c r="O24" s="43"/>
      <c r="P24" s="43"/>
      <c r="Q24" s="48"/>
      <c r="R24" s="47"/>
      <c r="S24" s="43"/>
      <c r="T24" s="43"/>
      <c r="U24" s="44"/>
      <c r="V24" s="45">
        <v>322</v>
      </c>
      <c r="W24" s="43">
        <v>-63</v>
      </c>
      <c r="X24" s="43">
        <v>22</v>
      </c>
      <c r="Y24" s="44">
        <v>-227</v>
      </c>
      <c r="Z24" s="45"/>
      <c r="AA24" s="43"/>
      <c r="AB24" s="43"/>
      <c r="AC24" s="44"/>
      <c r="AD24" s="45"/>
      <c r="AE24" s="43"/>
      <c r="AF24" s="43"/>
      <c r="AG24" s="44"/>
      <c r="AH24" s="45"/>
      <c r="AI24" s="43"/>
      <c r="AJ24" s="43"/>
      <c r="AK24" s="44"/>
      <c r="AL24" s="45">
        <v>4983</v>
      </c>
      <c r="AM24" s="43"/>
      <c r="AN24" s="43">
        <v>8891</v>
      </c>
      <c r="AO24" s="44"/>
      <c r="AP24" s="45"/>
      <c r="AQ24" s="43"/>
      <c r="AR24" s="43"/>
      <c r="AS24" s="44"/>
      <c r="AT24" s="45"/>
      <c r="AU24" s="43"/>
      <c r="AV24" s="43"/>
      <c r="AW24" s="44"/>
      <c r="AX24" s="162"/>
      <c r="AY24" s="51"/>
      <c r="AZ24" s="51"/>
      <c r="BA24" s="816"/>
      <c r="BB24" s="45">
        <v>789</v>
      </c>
      <c r="BC24" s="43">
        <v>959</v>
      </c>
      <c r="BD24" s="43">
        <v>4237</v>
      </c>
      <c r="BE24" s="44">
        <v>1752</v>
      </c>
      <c r="BF24" s="45"/>
      <c r="BG24" s="43"/>
      <c r="BH24" s="43"/>
      <c r="BI24" s="44"/>
      <c r="BJ24" s="45"/>
      <c r="BK24" s="43"/>
      <c r="BL24" s="43"/>
      <c r="BM24" s="44"/>
      <c r="BN24" s="45"/>
      <c r="BO24" s="43"/>
      <c r="BP24" s="43"/>
      <c r="BQ24" s="44"/>
      <c r="BR24" s="45"/>
      <c r="BS24" s="43"/>
      <c r="BT24" s="43"/>
      <c r="BU24" s="44"/>
      <c r="BV24" s="817"/>
      <c r="BW24" s="43"/>
      <c r="BX24" s="43"/>
      <c r="BY24" s="44"/>
      <c r="BZ24" s="1115"/>
      <c r="CA24" s="1106"/>
      <c r="CB24" s="1106"/>
      <c r="CC24" s="1116"/>
      <c r="CD24" s="54"/>
      <c r="CE24" s="55"/>
      <c r="CF24" s="55"/>
      <c r="CG24" s="56"/>
      <c r="CH24" s="57">
        <v>103</v>
      </c>
      <c r="CI24" s="58">
        <v>3213</v>
      </c>
      <c r="CJ24" s="58">
        <v>4213</v>
      </c>
      <c r="CK24" s="59">
        <v>6563</v>
      </c>
      <c r="CL24" s="47">
        <v>-395</v>
      </c>
      <c r="CM24" s="43"/>
      <c r="CN24" s="43">
        <v>-27630</v>
      </c>
      <c r="CO24" s="48"/>
      <c r="CP24" s="37">
        <f t="shared" si="2"/>
        <v>5802</v>
      </c>
      <c r="CQ24" s="35">
        <f t="shared" si="2"/>
        <v>4109</v>
      </c>
      <c r="CR24" s="35">
        <f t="shared" si="2"/>
        <v>-10260</v>
      </c>
      <c r="CS24" s="1096">
        <f t="shared" si="2"/>
        <v>8088</v>
      </c>
      <c r="CT24" s="818"/>
      <c r="CU24" s="58"/>
      <c r="CV24" s="58"/>
      <c r="CW24" s="59"/>
      <c r="CX24" s="35">
        <f t="shared" si="3"/>
        <v>5802</v>
      </c>
      <c r="CY24" s="35">
        <f t="shared" si="3"/>
        <v>4109</v>
      </c>
      <c r="CZ24" s="35">
        <f t="shared" si="3"/>
        <v>-10260</v>
      </c>
      <c r="DA24" s="1096">
        <f t="shared" si="3"/>
        <v>8088</v>
      </c>
    </row>
    <row r="25" spans="1:105" s="86" customFormat="1" x14ac:dyDescent="0.3">
      <c r="A25" s="1088" t="s">
        <v>176</v>
      </c>
      <c r="B25" s="905">
        <f t="shared" ref="B25:BM25" si="6">SUM(B13:B24)</f>
        <v>707398</v>
      </c>
      <c r="C25" s="76">
        <f t="shared" si="6"/>
        <v>1016477</v>
      </c>
      <c r="D25" s="76">
        <f t="shared" si="6"/>
        <v>2180176</v>
      </c>
      <c r="E25" s="76">
        <f t="shared" si="6"/>
        <v>2182089</v>
      </c>
      <c r="F25" s="76">
        <f t="shared" si="6"/>
        <v>342982</v>
      </c>
      <c r="G25" s="76">
        <f t="shared" si="6"/>
        <v>202348</v>
      </c>
      <c r="H25" s="76">
        <f t="shared" si="6"/>
        <v>932708</v>
      </c>
      <c r="I25" s="76">
        <f t="shared" si="6"/>
        <v>606951</v>
      </c>
      <c r="J25" s="76">
        <f t="shared" si="6"/>
        <v>8639</v>
      </c>
      <c r="K25" s="76">
        <f t="shared" si="6"/>
        <v>205843</v>
      </c>
      <c r="L25" s="76">
        <f t="shared" si="6"/>
        <v>363609</v>
      </c>
      <c r="M25" s="76">
        <f t="shared" si="6"/>
        <v>1000448</v>
      </c>
      <c r="N25" s="76">
        <f t="shared" si="6"/>
        <v>1328272</v>
      </c>
      <c r="O25" s="76">
        <f t="shared" si="6"/>
        <v>364700</v>
      </c>
      <c r="P25" s="76">
        <f t="shared" si="6"/>
        <v>1941761</v>
      </c>
      <c r="Q25" s="76">
        <f t="shared" si="6"/>
        <v>559360</v>
      </c>
      <c r="R25" s="76">
        <f t="shared" si="6"/>
        <v>20277</v>
      </c>
      <c r="S25" s="76">
        <f t="shared" si="6"/>
        <v>208805</v>
      </c>
      <c r="T25" s="76">
        <f t="shared" si="6"/>
        <v>62546</v>
      </c>
      <c r="U25" s="76">
        <f t="shared" si="6"/>
        <v>255173</v>
      </c>
      <c r="V25" s="76">
        <f t="shared" si="6"/>
        <v>48417</v>
      </c>
      <c r="W25" s="76">
        <f t="shared" si="6"/>
        <v>24424</v>
      </c>
      <c r="X25" s="76">
        <f t="shared" si="6"/>
        <v>298397</v>
      </c>
      <c r="Y25" s="76">
        <f t="shared" si="6"/>
        <v>59929</v>
      </c>
      <c r="Z25" s="76">
        <f t="shared" si="6"/>
        <v>643276</v>
      </c>
      <c r="AA25" s="76">
        <f t="shared" si="6"/>
        <v>822672</v>
      </c>
      <c r="AB25" s="76">
        <f t="shared" si="6"/>
        <v>2582927</v>
      </c>
      <c r="AC25" s="76">
        <f t="shared" si="6"/>
        <v>2216488</v>
      </c>
      <c r="AD25" s="76">
        <f t="shared" si="6"/>
        <v>689709</v>
      </c>
      <c r="AE25" s="76">
        <f t="shared" si="6"/>
        <v>818247</v>
      </c>
      <c r="AF25" s="76">
        <f t="shared" si="6"/>
        <v>2539983</v>
      </c>
      <c r="AG25" s="76">
        <f t="shared" si="6"/>
        <v>1981668</v>
      </c>
      <c r="AH25" s="76">
        <f t="shared" si="6"/>
        <v>336786</v>
      </c>
      <c r="AI25" s="76">
        <f t="shared" si="6"/>
        <v>209185</v>
      </c>
      <c r="AJ25" s="76">
        <f t="shared" si="6"/>
        <v>1213019</v>
      </c>
      <c r="AK25" s="76">
        <f t="shared" si="6"/>
        <v>637950</v>
      </c>
      <c r="AL25" s="76">
        <f t="shared" si="6"/>
        <v>472105</v>
      </c>
      <c r="AM25" s="76">
        <f t="shared" si="6"/>
        <v>675977</v>
      </c>
      <c r="AN25" s="76">
        <f t="shared" si="6"/>
        <v>1468014</v>
      </c>
      <c r="AO25" s="76">
        <f t="shared" si="6"/>
        <v>1624532</v>
      </c>
      <c r="AP25" s="76">
        <f t="shared" si="6"/>
        <v>39225</v>
      </c>
      <c r="AQ25" s="76">
        <f t="shared" si="6"/>
        <v>-45221</v>
      </c>
      <c r="AR25" s="76">
        <f t="shared" si="6"/>
        <v>312623</v>
      </c>
      <c r="AS25" s="76">
        <f t="shared" si="6"/>
        <v>138120</v>
      </c>
      <c r="AT25" s="76">
        <f t="shared" si="6"/>
        <v>1082298</v>
      </c>
      <c r="AU25" s="76">
        <f t="shared" si="6"/>
        <v>102008</v>
      </c>
      <c r="AV25" s="76">
        <f t="shared" si="6"/>
        <v>2005337</v>
      </c>
      <c r="AW25" s="76">
        <f t="shared" si="6"/>
        <v>295167</v>
      </c>
      <c r="AX25" s="76">
        <f t="shared" si="6"/>
        <v>112948</v>
      </c>
      <c r="AY25" s="76">
        <f t="shared" si="6"/>
        <v>10112</v>
      </c>
      <c r="AZ25" s="76">
        <f t="shared" si="6"/>
        <v>158452</v>
      </c>
      <c r="BA25" s="76">
        <f t="shared" si="6"/>
        <v>27491</v>
      </c>
      <c r="BB25" s="76">
        <f t="shared" si="6"/>
        <v>117607</v>
      </c>
      <c r="BC25" s="76">
        <f t="shared" si="6"/>
        <v>102314</v>
      </c>
      <c r="BD25" s="76">
        <f t="shared" si="6"/>
        <v>865960</v>
      </c>
      <c r="BE25" s="76">
        <f t="shared" si="6"/>
        <v>484427</v>
      </c>
      <c r="BF25" s="76">
        <f t="shared" si="6"/>
        <v>46288</v>
      </c>
      <c r="BG25" s="76">
        <f t="shared" si="6"/>
        <v>27453</v>
      </c>
      <c r="BH25" s="76">
        <f t="shared" si="6"/>
        <v>139774</v>
      </c>
      <c r="BI25" s="76">
        <f t="shared" si="6"/>
        <v>64403</v>
      </c>
      <c r="BJ25" s="76">
        <f t="shared" si="6"/>
        <v>102234</v>
      </c>
      <c r="BK25" s="76">
        <f t="shared" si="6"/>
        <v>-178897</v>
      </c>
      <c r="BL25" s="76">
        <f t="shared" si="6"/>
        <v>186076</v>
      </c>
      <c r="BM25" s="76">
        <f t="shared" si="6"/>
        <v>-24090</v>
      </c>
      <c r="BN25" s="76">
        <f t="shared" ref="BN25:CO25" si="7">SUM(BN13:BN24)</f>
        <v>175113</v>
      </c>
      <c r="BO25" s="76">
        <f t="shared" si="7"/>
        <v>69328</v>
      </c>
      <c r="BP25" s="76">
        <f t="shared" si="7"/>
        <v>440434</v>
      </c>
      <c r="BQ25" s="76">
        <f t="shared" si="7"/>
        <v>328774</v>
      </c>
      <c r="BR25" s="76">
        <f t="shared" si="7"/>
        <v>244045</v>
      </c>
      <c r="BS25" s="76">
        <f t="shared" si="7"/>
        <v>408656</v>
      </c>
      <c r="BT25" s="76">
        <f t="shared" si="7"/>
        <v>891249</v>
      </c>
      <c r="BU25" s="902">
        <f t="shared" si="7"/>
        <v>1364652</v>
      </c>
      <c r="BV25" s="169">
        <f t="shared" si="7"/>
        <v>0</v>
      </c>
      <c r="BW25" s="76">
        <f t="shared" si="7"/>
        <v>0</v>
      </c>
      <c r="BX25" s="76">
        <f t="shared" si="7"/>
        <v>0</v>
      </c>
      <c r="BY25" s="902">
        <f t="shared" si="7"/>
        <v>0</v>
      </c>
      <c r="BZ25" s="169">
        <f t="shared" si="7"/>
        <v>224495</v>
      </c>
      <c r="CA25" s="76">
        <f t="shared" si="7"/>
        <v>64913</v>
      </c>
      <c r="CB25" s="76">
        <f t="shared" si="7"/>
        <v>368191</v>
      </c>
      <c r="CC25" s="170">
        <f t="shared" si="7"/>
        <v>252066</v>
      </c>
      <c r="CD25" s="905">
        <v>24009</v>
      </c>
      <c r="CE25" s="76">
        <v>-1456</v>
      </c>
      <c r="CF25" s="76">
        <v>25539</v>
      </c>
      <c r="CG25" s="170">
        <v>325055</v>
      </c>
      <c r="CH25" s="905">
        <f t="shared" si="7"/>
        <v>40065</v>
      </c>
      <c r="CI25" s="76">
        <f t="shared" si="7"/>
        <v>-187112</v>
      </c>
      <c r="CJ25" s="76">
        <f t="shared" si="7"/>
        <v>256648</v>
      </c>
      <c r="CK25" s="170">
        <f t="shared" si="7"/>
        <v>197383</v>
      </c>
      <c r="CL25" s="905">
        <f t="shared" si="7"/>
        <v>-415909</v>
      </c>
      <c r="CM25" s="76">
        <f t="shared" si="7"/>
        <v>-201079</v>
      </c>
      <c r="CN25" s="76">
        <f t="shared" si="7"/>
        <v>805870</v>
      </c>
      <c r="CO25" s="170">
        <f t="shared" si="7"/>
        <v>847089</v>
      </c>
      <c r="CP25" s="37">
        <f t="shared" si="2"/>
        <v>6390279</v>
      </c>
      <c r="CQ25" s="35">
        <f t="shared" si="2"/>
        <v>4719697</v>
      </c>
      <c r="CR25" s="35">
        <f t="shared" si="2"/>
        <v>20039293</v>
      </c>
      <c r="CS25" s="1096">
        <f t="shared" si="2"/>
        <v>15425125</v>
      </c>
      <c r="CT25" s="169">
        <f t="shared" ref="CT25:CW25" si="8">SUM(CT13:CT24)</f>
        <v>1092</v>
      </c>
      <c r="CU25" s="76">
        <f t="shared" si="8"/>
        <v>1014</v>
      </c>
      <c r="CV25" s="76">
        <f t="shared" si="8"/>
        <v>3181</v>
      </c>
      <c r="CW25" s="170">
        <f t="shared" si="8"/>
        <v>2921</v>
      </c>
      <c r="CX25" s="35">
        <f t="shared" si="3"/>
        <v>6391371</v>
      </c>
      <c r="CY25" s="35">
        <f t="shared" si="3"/>
        <v>4720711</v>
      </c>
      <c r="CZ25" s="35">
        <f t="shared" si="3"/>
        <v>20042474</v>
      </c>
      <c r="DA25" s="1096">
        <f t="shared" si="3"/>
        <v>15428046</v>
      </c>
    </row>
    <row r="26" spans="1:105" x14ac:dyDescent="0.3">
      <c r="A26" s="1087" t="s">
        <v>177</v>
      </c>
      <c r="B26" s="1085">
        <v>463353</v>
      </c>
      <c r="C26" s="814">
        <v>512997</v>
      </c>
      <c r="D26" s="815">
        <v>959930</v>
      </c>
      <c r="E26" s="815">
        <v>1210800</v>
      </c>
      <c r="F26" s="45">
        <v>-322542</v>
      </c>
      <c r="G26" s="43">
        <v>-190638</v>
      </c>
      <c r="H26" s="43">
        <v>-872310</v>
      </c>
      <c r="I26" s="48">
        <v>-565440</v>
      </c>
      <c r="J26" s="45">
        <v>118527</v>
      </c>
      <c r="K26" s="43">
        <v>-57487</v>
      </c>
      <c r="L26" s="43">
        <v>26087</v>
      </c>
      <c r="M26" s="44">
        <v>-576746</v>
      </c>
      <c r="N26" s="45">
        <v>1282818</v>
      </c>
      <c r="O26" s="43">
        <v>1861955</v>
      </c>
      <c r="P26" s="43">
        <v>4522583</v>
      </c>
      <c r="Q26" s="48">
        <v>6146418</v>
      </c>
      <c r="R26" s="47">
        <v>-202536</v>
      </c>
      <c r="S26" s="43">
        <v>-493027</v>
      </c>
      <c r="T26" s="43">
        <v>-526786</v>
      </c>
      <c r="U26" s="44">
        <v>-831818</v>
      </c>
      <c r="V26" s="45">
        <v>147653</v>
      </c>
      <c r="W26" s="43">
        <v>123819</v>
      </c>
      <c r="X26" s="43">
        <v>238026</v>
      </c>
      <c r="Y26" s="44">
        <v>404213</v>
      </c>
      <c r="Z26" s="45">
        <v>172241</v>
      </c>
      <c r="AA26" s="43">
        <v>313690</v>
      </c>
      <c r="AB26" s="43">
        <v>739507</v>
      </c>
      <c r="AC26" s="44">
        <v>851121</v>
      </c>
      <c r="AD26" s="45">
        <v>-619866</v>
      </c>
      <c r="AE26" s="43">
        <v>-528711</v>
      </c>
      <c r="AF26" s="43">
        <v>-2029312</v>
      </c>
      <c r="AG26" s="44">
        <v>-1356525</v>
      </c>
      <c r="AH26" s="45">
        <v>-203646</v>
      </c>
      <c r="AI26" s="43">
        <v>-23108</v>
      </c>
      <c r="AJ26" s="43">
        <v>-743777</v>
      </c>
      <c r="AK26" s="44">
        <v>-141914</v>
      </c>
      <c r="AL26" s="45">
        <v>-414285</v>
      </c>
      <c r="AM26" s="43">
        <v>-626404</v>
      </c>
      <c r="AN26" s="43">
        <v>-1300258</v>
      </c>
      <c r="AO26" s="44">
        <v>-1475264</v>
      </c>
      <c r="AP26" s="45">
        <v>2564713</v>
      </c>
      <c r="AQ26" s="43">
        <v>2161760</v>
      </c>
      <c r="AR26" s="43">
        <v>9446083</v>
      </c>
      <c r="AS26" s="44">
        <v>7877914</v>
      </c>
      <c r="AT26" s="45">
        <v>2971846</v>
      </c>
      <c r="AU26" s="43">
        <v>4807788</v>
      </c>
      <c r="AV26" s="43">
        <v>8833859</v>
      </c>
      <c r="AW26" s="44">
        <v>13578702</v>
      </c>
      <c r="AX26" s="162">
        <v>3426</v>
      </c>
      <c r="AY26" s="51">
        <v>97921</v>
      </c>
      <c r="AZ26" s="51">
        <v>189326</v>
      </c>
      <c r="BA26" s="816">
        <v>290695</v>
      </c>
      <c r="BB26" s="45">
        <v>170884</v>
      </c>
      <c r="BC26" s="43">
        <v>122782</v>
      </c>
      <c r="BD26" s="43">
        <v>-169271</v>
      </c>
      <c r="BE26" s="44">
        <v>27797</v>
      </c>
      <c r="BF26" s="45">
        <v>385268</v>
      </c>
      <c r="BG26" s="43">
        <v>379531</v>
      </c>
      <c r="BH26" s="43">
        <v>1108044</v>
      </c>
      <c r="BI26" s="44">
        <v>1124919</v>
      </c>
      <c r="BJ26" s="45">
        <v>989054</v>
      </c>
      <c r="BK26" s="43">
        <v>1535525</v>
      </c>
      <c r="BL26" s="43">
        <v>3753370</v>
      </c>
      <c r="BM26" s="44">
        <v>3897423</v>
      </c>
      <c r="BN26" s="45">
        <v>175852</v>
      </c>
      <c r="BO26" s="43">
        <v>379348</v>
      </c>
      <c r="BP26" s="43">
        <v>789498</v>
      </c>
      <c r="BQ26" s="44">
        <v>1120668</v>
      </c>
      <c r="BR26" s="45">
        <v>5165</v>
      </c>
      <c r="BS26" s="43">
        <v>-146923</v>
      </c>
      <c r="BT26" s="43">
        <v>19474</v>
      </c>
      <c r="BU26" s="44">
        <v>-334811</v>
      </c>
      <c r="BV26" s="817"/>
      <c r="BW26" s="43"/>
      <c r="BX26" s="43"/>
      <c r="BY26" s="44"/>
      <c r="BZ26" s="1113">
        <v>2712692</v>
      </c>
      <c r="CA26" s="1105">
        <v>2404877</v>
      </c>
      <c r="CB26" s="1105">
        <v>8909313</v>
      </c>
      <c r="CC26" s="1114">
        <v>7953121</v>
      </c>
      <c r="CD26" s="54">
        <v>34549</v>
      </c>
      <c r="CE26" s="55">
        <v>106214</v>
      </c>
      <c r="CF26" s="55">
        <v>67812</v>
      </c>
      <c r="CG26" s="56">
        <v>237002</v>
      </c>
      <c r="CH26" s="57">
        <v>300410</v>
      </c>
      <c r="CI26" s="58">
        <v>390033</v>
      </c>
      <c r="CJ26" s="58">
        <v>547397</v>
      </c>
      <c r="CK26" s="59">
        <v>141895</v>
      </c>
      <c r="CL26" s="47">
        <v>773671</v>
      </c>
      <c r="CM26" s="43">
        <v>540080</v>
      </c>
      <c r="CN26" s="43">
        <v>369580</v>
      </c>
      <c r="CO26" s="48">
        <v>698863</v>
      </c>
      <c r="CP26" s="37">
        <f t="shared" si="2"/>
        <v>11509247</v>
      </c>
      <c r="CQ26" s="35">
        <f t="shared" si="2"/>
        <v>13672022</v>
      </c>
      <c r="CR26" s="35">
        <f t="shared" si="2"/>
        <v>34878175</v>
      </c>
      <c r="CS26" s="1096">
        <f t="shared" si="2"/>
        <v>40279033</v>
      </c>
      <c r="CT26" s="818">
        <v>57798</v>
      </c>
      <c r="CU26" s="58">
        <v>40298</v>
      </c>
      <c r="CV26" s="58">
        <v>388052</v>
      </c>
      <c r="CW26" s="59">
        <v>318288</v>
      </c>
      <c r="CX26" s="35">
        <f t="shared" si="3"/>
        <v>11567045</v>
      </c>
      <c r="CY26" s="35">
        <f t="shared" si="3"/>
        <v>13712320</v>
      </c>
      <c r="CZ26" s="35">
        <f t="shared" si="3"/>
        <v>35266227</v>
      </c>
      <c r="DA26" s="1096">
        <f t="shared" si="3"/>
        <v>40597321</v>
      </c>
    </row>
    <row r="27" spans="1:105" x14ac:dyDescent="0.3">
      <c r="A27" s="1087" t="s">
        <v>178</v>
      </c>
      <c r="B27" s="1085">
        <v>88804</v>
      </c>
      <c r="C27" s="814"/>
      <c r="D27" s="815">
        <v>183976</v>
      </c>
      <c r="E27" s="815"/>
      <c r="F27" s="45"/>
      <c r="G27" s="43"/>
      <c r="H27" s="43"/>
      <c r="I27" s="48"/>
      <c r="J27" s="45"/>
      <c r="K27" s="43"/>
      <c r="L27" s="43"/>
      <c r="M27" s="44"/>
      <c r="N27" s="45"/>
      <c r="O27" s="43"/>
      <c r="P27" s="43"/>
      <c r="Q27" s="48"/>
      <c r="R27" s="47"/>
      <c r="S27" s="43"/>
      <c r="T27" s="43"/>
      <c r="U27" s="44"/>
      <c r="V27" s="45"/>
      <c r="W27" s="43"/>
      <c r="X27" s="43"/>
      <c r="Y27" s="44"/>
      <c r="Z27" s="45"/>
      <c r="AA27" s="43"/>
      <c r="AB27" s="43"/>
      <c r="AC27" s="44"/>
      <c r="AD27" s="45"/>
      <c r="AE27" s="43"/>
      <c r="AF27" s="43"/>
      <c r="AG27" s="44"/>
      <c r="AH27" s="45"/>
      <c r="AI27" s="43"/>
      <c r="AJ27" s="43"/>
      <c r="AK27" s="44"/>
      <c r="AL27" s="45"/>
      <c r="AM27" s="43"/>
      <c r="AN27" s="43"/>
      <c r="AO27" s="44"/>
      <c r="AP27" s="45">
        <v>108485</v>
      </c>
      <c r="AQ27" s="43">
        <v>88599</v>
      </c>
      <c r="AR27" s="43">
        <v>318240</v>
      </c>
      <c r="AS27" s="44">
        <v>256311</v>
      </c>
      <c r="AT27" s="45"/>
      <c r="AU27" s="43"/>
      <c r="AV27" s="43"/>
      <c r="AW27" s="44"/>
      <c r="AX27" s="162"/>
      <c r="AY27" s="51"/>
      <c r="AZ27" s="51"/>
      <c r="BA27" s="816"/>
      <c r="BB27" s="45"/>
      <c r="BC27" s="43"/>
      <c r="BD27" s="43"/>
      <c r="BE27" s="44"/>
      <c r="BF27" s="45"/>
      <c r="BG27" s="43"/>
      <c r="BH27" s="43"/>
      <c r="BI27" s="44"/>
      <c r="BJ27" s="45">
        <v>184396</v>
      </c>
      <c r="BK27" s="43">
        <v>255727</v>
      </c>
      <c r="BL27" s="43">
        <v>649983</v>
      </c>
      <c r="BM27" s="44">
        <v>643326</v>
      </c>
      <c r="BN27" s="45">
        <v>19722</v>
      </c>
      <c r="BO27" s="43"/>
      <c r="BP27" s="43">
        <v>58653</v>
      </c>
      <c r="BQ27" s="44"/>
      <c r="BR27" s="45"/>
      <c r="BS27" s="43"/>
      <c r="BT27" s="43"/>
      <c r="BU27" s="44"/>
      <c r="BV27" s="817"/>
      <c r="BW27" s="43"/>
      <c r="BX27" s="43"/>
      <c r="BY27" s="44"/>
      <c r="BZ27" s="1111"/>
      <c r="CA27" s="1104"/>
      <c r="CB27" s="1104"/>
      <c r="CC27" s="1112"/>
      <c r="CD27" s="54"/>
      <c r="CE27" s="55"/>
      <c r="CF27" s="55"/>
      <c r="CG27" s="56"/>
      <c r="CH27" s="57"/>
      <c r="CI27" s="58"/>
      <c r="CJ27" s="58"/>
      <c r="CK27" s="59"/>
      <c r="CL27" s="47">
        <v>-48261</v>
      </c>
      <c r="CM27" s="43">
        <v>-41924</v>
      </c>
      <c r="CN27" s="43">
        <v>-140302</v>
      </c>
      <c r="CO27" s="48">
        <v>-157507</v>
      </c>
      <c r="CP27" s="37">
        <f t="shared" si="2"/>
        <v>353146</v>
      </c>
      <c r="CQ27" s="35">
        <f t="shared" si="2"/>
        <v>302402</v>
      </c>
      <c r="CR27" s="35">
        <f t="shared" si="2"/>
        <v>1070550</v>
      </c>
      <c r="CS27" s="1096">
        <f t="shared" si="2"/>
        <v>742130</v>
      </c>
      <c r="CT27" s="818">
        <v>20197</v>
      </c>
      <c r="CU27" s="58">
        <v>13946</v>
      </c>
      <c r="CV27" s="58">
        <v>135601</v>
      </c>
      <c r="CW27" s="59">
        <v>110153</v>
      </c>
      <c r="CX27" s="35">
        <f t="shared" si="3"/>
        <v>373343</v>
      </c>
      <c r="CY27" s="35">
        <f t="shared" si="3"/>
        <v>316348</v>
      </c>
      <c r="CZ27" s="35">
        <f t="shared" si="3"/>
        <v>1206151</v>
      </c>
      <c r="DA27" s="1096">
        <f t="shared" si="3"/>
        <v>852283</v>
      </c>
    </row>
    <row r="28" spans="1:105" x14ac:dyDescent="0.3">
      <c r="A28" s="1087" t="s">
        <v>179</v>
      </c>
      <c r="B28" s="823"/>
      <c r="C28" s="814"/>
      <c r="D28" s="815"/>
      <c r="E28" s="815"/>
      <c r="F28" s="45"/>
      <c r="G28" s="43"/>
      <c r="H28" s="43"/>
      <c r="I28" s="48"/>
      <c r="J28" s="45"/>
      <c r="K28" s="43"/>
      <c r="L28" s="43"/>
      <c r="M28" s="44"/>
      <c r="N28" s="45"/>
      <c r="O28" s="43"/>
      <c r="P28" s="43"/>
      <c r="Q28" s="48"/>
      <c r="R28" s="47"/>
      <c r="S28" s="43"/>
      <c r="T28" s="43"/>
      <c r="U28" s="44"/>
      <c r="V28" s="45"/>
      <c r="W28" s="43"/>
      <c r="X28" s="43"/>
      <c r="Y28" s="44"/>
      <c r="Z28" s="45">
        <v>-22391</v>
      </c>
      <c r="AA28" s="43">
        <v>-40388</v>
      </c>
      <c r="AB28" s="43">
        <v>-96136</v>
      </c>
      <c r="AC28" s="44">
        <v>-109582</v>
      </c>
      <c r="AD28" s="45"/>
      <c r="AE28" s="43"/>
      <c r="AF28" s="43"/>
      <c r="AG28" s="44"/>
      <c r="AH28" s="45"/>
      <c r="AI28" s="43"/>
      <c r="AJ28" s="43"/>
      <c r="AK28" s="44"/>
      <c r="AL28" s="45"/>
      <c r="AM28" s="43"/>
      <c r="AN28" s="43"/>
      <c r="AO28" s="44"/>
      <c r="AP28" s="45"/>
      <c r="AQ28" s="43"/>
      <c r="AR28" s="43"/>
      <c r="AS28" s="44"/>
      <c r="AT28" s="45"/>
      <c r="AU28" s="43">
        <v>2</v>
      </c>
      <c r="AW28" s="44">
        <v>58</v>
      </c>
      <c r="AX28" s="162"/>
      <c r="AY28" s="51"/>
      <c r="AZ28" s="51"/>
      <c r="BA28" s="816"/>
      <c r="BB28" s="45"/>
      <c r="BC28" s="43"/>
      <c r="BD28" s="43"/>
      <c r="BE28" s="44"/>
      <c r="BF28" s="45"/>
      <c r="BG28" s="43"/>
      <c r="BH28" s="43"/>
      <c r="BI28" s="44"/>
      <c r="BJ28" s="45"/>
      <c r="BK28" s="43"/>
      <c r="BL28" s="43"/>
      <c r="BM28" s="44"/>
      <c r="BN28" s="45"/>
      <c r="BO28" s="43"/>
      <c r="BP28" s="43"/>
      <c r="BQ28" s="44"/>
      <c r="BR28" s="45"/>
      <c r="BS28" s="43"/>
      <c r="BT28" s="43"/>
      <c r="BU28" s="44"/>
      <c r="BV28" s="817"/>
      <c r="BW28" s="43"/>
      <c r="BX28" s="43"/>
      <c r="BY28" s="44"/>
      <c r="BZ28" s="1111"/>
      <c r="CA28" s="1104"/>
      <c r="CB28" s="1104"/>
      <c r="CC28" s="1112"/>
      <c r="CD28" s="54"/>
      <c r="CE28" s="55"/>
      <c r="CF28" s="55"/>
      <c r="CG28" s="56"/>
      <c r="CH28" s="57"/>
      <c r="CI28" s="58"/>
      <c r="CJ28" s="58"/>
      <c r="CK28" s="59"/>
      <c r="CL28" s="47"/>
      <c r="CM28" s="43"/>
      <c r="CN28" s="43"/>
      <c r="CO28" s="48"/>
      <c r="CP28" s="37">
        <f t="shared" si="2"/>
        <v>-22391</v>
      </c>
      <c r="CQ28" s="35">
        <f t="shared" si="2"/>
        <v>-40386</v>
      </c>
      <c r="CR28" s="35">
        <f t="shared" si="2"/>
        <v>-96136</v>
      </c>
      <c r="CS28" s="1096">
        <f t="shared" si="2"/>
        <v>-109524</v>
      </c>
      <c r="CT28" s="818"/>
      <c r="CU28" s="58"/>
      <c r="CV28" s="58"/>
      <c r="CW28" s="59"/>
      <c r="CX28" s="35">
        <f t="shared" si="3"/>
        <v>-22391</v>
      </c>
      <c r="CY28" s="35">
        <f t="shared" si="3"/>
        <v>-40386</v>
      </c>
      <c r="CZ28" s="35">
        <f t="shared" si="3"/>
        <v>-96136</v>
      </c>
      <c r="DA28" s="1096">
        <f t="shared" si="3"/>
        <v>-109524</v>
      </c>
    </row>
    <row r="29" spans="1:105" x14ac:dyDescent="0.3">
      <c r="A29" s="1087" t="s">
        <v>180</v>
      </c>
      <c r="C29" s="814"/>
      <c r="D29" s="815"/>
      <c r="E29" s="815"/>
      <c r="F29" s="45"/>
      <c r="G29" s="43"/>
      <c r="H29" s="43"/>
      <c r="I29" s="48"/>
      <c r="J29" s="45"/>
      <c r="K29" s="43"/>
      <c r="L29" s="43"/>
      <c r="M29" s="44"/>
      <c r="N29" s="45">
        <v>160480</v>
      </c>
      <c r="O29" s="43">
        <v>233354</v>
      </c>
      <c r="P29" s="43">
        <v>622870</v>
      </c>
      <c r="Q29" s="48">
        <v>696895</v>
      </c>
      <c r="R29" s="47"/>
      <c r="S29" s="43"/>
      <c r="T29" s="43"/>
      <c r="U29" s="44"/>
      <c r="V29" s="45"/>
      <c r="W29" s="43"/>
      <c r="X29" s="43"/>
      <c r="Y29" s="44"/>
      <c r="Z29" s="45"/>
      <c r="AA29" s="43"/>
      <c r="AB29" s="43"/>
      <c r="AC29" s="44"/>
      <c r="AD29" s="45"/>
      <c r="AE29" s="43"/>
      <c r="AF29" s="43"/>
      <c r="AG29" s="44"/>
      <c r="AH29" s="45"/>
      <c r="AI29" s="43"/>
      <c r="AJ29" s="43"/>
      <c r="AK29" s="44"/>
      <c r="AL29" s="45"/>
      <c r="AM29" s="43"/>
      <c r="AN29" s="43"/>
      <c r="AO29" s="44"/>
      <c r="AP29" s="45"/>
      <c r="AQ29" s="43"/>
      <c r="AR29" s="43"/>
      <c r="AS29" s="44"/>
      <c r="AT29" s="45">
        <v>-7567</v>
      </c>
      <c r="AU29" s="43">
        <v>-289468</v>
      </c>
      <c r="AV29" s="43">
        <v>-54762</v>
      </c>
      <c r="AW29" s="44">
        <v>-789734</v>
      </c>
      <c r="AX29" s="162"/>
      <c r="AY29" s="51"/>
      <c r="AZ29" s="51"/>
      <c r="BA29" s="816"/>
      <c r="BB29" s="45"/>
      <c r="BC29" s="43"/>
      <c r="BD29" s="43"/>
      <c r="BE29" s="44"/>
      <c r="BF29" s="45">
        <v>54464</v>
      </c>
      <c r="BG29" s="43">
        <v>53777</v>
      </c>
      <c r="BH29" s="43">
        <v>178599</v>
      </c>
      <c r="BI29" s="44">
        <v>171583</v>
      </c>
      <c r="BJ29" s="45"/>
      <c r="BK29" s="43"/>
      <c r="BL29" s="43"/>
      <c r="BM29" s="44"/>
      <c r="BN29" s="45"/>
      <c r="BO29" s="43"/>
      <c r="BP29" s="43"/>
      <c r="BQ29" s="44"/>
      <c r="BR29" s="45"/>
      <c r="BS29" s="43"/>
      <c r="BT29" s="43"/>
      <c r="BU29" s="44"/>
      <c r="BV29" s="817"/>
      <c r="BW29" s="43"/>
      <c r="BX29" s="43"/>
      <c r="BY29" s="44"/>
      <c r="BZ29" s="1113">
        <v>69892</v>
      </c>
      <c r="CA29" s="1105">
        <v>102121</v>
      </c>
      <c r="CB29" s="1105">
        <v>218117</v>
      </c>
      <c r="CC29" s="1114">
        <v>261250</v>
      </c>
      <c r="CD29" s="54">
        <v>5305</v>
      </c>
      <c r="CE29" s="55">
        <v>14970</v>
      </c>
      <c r="CF29" s="55">
        <v>10148</v>
      </c>
      <c r="CG29" s="56">
        <v>36299</v>
      </c>
      <c r="CH29" s="57"/>
      <c r="CI29" s="58"/>
      <c r="CJ29" s="58"/>
      <c r="CK29" s="59"/>
      <c r="CL29" s="47"/>
      <c r="CM29" s="43"/>
      <c r="CN29" s="43"/>
      <c r="CO29" s="48"/>
      <c r="CP29" s="37">
        <f t="shared" si="2"/>
        <v>282574</v>
      </c>
      <c r="CQ29" s="35">
        <f t="shared" si="2"/>
        <v>114754</v>
      </c>
      <c r="CR29" s="35">
        <f t="shared" si="2"/>
        <v>974972</v>
      </c>
      <c r="CS29" s="1096">
        <f t="shared" si="2"/>
        <v>376293</v>
      </c>
      <c r="CT29" s="818"/>
      <c r="CU29" s="58"/>
      <c r="CV29" s="58"/>
      <c r="CW29" s="59"/>
      <c r="CX29" s="35">
        <f t="shared" si="3"/>
        <v>282574</v>
      </c>
      <c r="CY29" s="35">
        <f t="shared" si="3"/>
        <v>114754</v>
      </c>
      <c r="CZ29" s="35">
        <f t="shared" si="3"/>
        <v>974972</v>
      </c>
      <c r="DA29" s="1096">
        <f t="shared" si="3"/>
        <v>376293</v>
      </c>
    </row>
    <row r="30" spans="1:105" x14ac:dyDescent="0.3">
      <c r="A30" s="1087" t="s">
        <v>181</v>
      </c>
      <c r="B30" s="1085">
        <v>374549</v>
      </c>
      <c r="C30" s="814">
        <v>512997</v>
      </c>
      <c r="D30" s="815">
        <v>775954</v>
      </c>
      <c r="E30" s="815">
        <v>1210800</v>
      </c>
      <c r="F30" s="45">
        <v>-322542</v>
      </c>
      <c r="G30" s="43">
        <v>-190638</v>
      </c>
      <c r="H30" s="43">
        <v>-872310</v>
      </c>
      <c r="I30" s="48">
        <v>-565440</v>
      </c>
      <c r="J30" s="45">
        <v>118527</v>
      </c>
      <c r="K30" s="43">
        <v>-57487</v>
      </c>
      <c r="L30" s="43">
        <v>26087</v>
      </c>
      <c r="M30" s="44">
        <v>-546746</v>
      </c>
      <c r="N30" s="45">
        <v>1122338</v>
      </c>
      <c r="O30" s="43">
        <v>1628601</v>
      </c>
      <c r="P30" s="43">
        <v>3899713</v>
      </c>
      <c r="Q30" s="48">
        <v>5449523</v>
      </c>
      <c r="R30" s="47">
        <f>R26</f>
        <v>-202536</v>
      </c>
      <c r="S30" s="47">
        <f t="shared" ref="S30:U30" si="9">S26</f>
        <v>-493027</v>
      </c>
      <c r="T30" s="47">
        <f t="shared" si="9"/>
        <v>-526786</v>
      </c>
      <c r="U30" s="47">
        <f t="shared" si="9"/>
        <v>-831818</v>
      </c>
      <c r="V30" s="45">
        <v>147653</v>
      </c>
      <c r="W30" s="43">
        <v>123819</v>
      </c>
      <c r="X30" s="43">
        <v>238026</v>
      </c>
      <c r="Y30" s="44">
        <v>404213</v>
      </c>
      <c r="Z30" s="45">
        <v>149850</v>
      </c>
      <c r="AA30" s="43">
        <v>273302</v>
      </c>
      <c r="AB30" s="43">
        <v>643371</v>
      </c>
      <c r="AC30" s="44">
        <v>741539</v>
      </c>
      <c r="AD30" s="45">
        <v>-619866</v>
      </c>
      <c r="AE30" s="43">
        <v>-528711</v>
      </c>
      <c r="AF30" s="43">
        <v>-2029312</v>
      </c>
      <c r="AG30" s="44">
        <v>-1356525</v>
      </c>
      <c r="AH30" s="45">
        <v>-203646</v>
      </c>
      <c r="AI30" s="43">
        <v>-23108</v>
      </c>
      <c r="AJ30" s="43">
        <v>-743777</v>
      </c>
      <c r="AK30" s="44">
        <v>-141914</v>
      </c>
      <c r="AL30" s="45">
        <v>-414285</v>
      </c>
      <c r="AM30" s="43">
        <v>-626404</v>
      </c>
      <c r="AN30" s="43">
        <v>-1300258</v>
      </c>
      <c r="AO30" s="44">
        <v>-1475264</v>
      </c>
      <c r="AP30" s="45">
        <v>2456228</v>
      </c>
      <c r="AQ30" s="43">
        <v>2073161</v>
      </c>
      <c r="AR30" s="43">
        <v>9127843</v>
      </c>
      <c r="AS30" s="44">
        <v>7621603</v>
      </c>
      <c r="AT30" s="45">
        <v>2964279</v>
      </c>
      <c r="AU30" s="43">
        <v>4518322</v>
      </c>
      <c r="AV30" s="43">
        <v>8779097</v>
      </c>
      <c r="AW30" s="44">
        <v>12789026</v>
      </c>
      <c r="AX30" s="162">
        <v>3426</v>
      </c>
      <c r="AY30" s="51">
        <v>97921</v>
      </c>
      <c r="AZ30" s="51">
        <v>189326</v>
      </c>
      <c r="BA30" s="816">
        <v>290695</v>
      </c>
      <c r="BB30" s="45">
        <v>170884</v>
      </c>
      <c r="BC30" s="43">
        <v>122782</v>
      </c>
      <c r="BD30" s="43">
        <v>-169271</v>
      </c>
      <c r="BE30" s="44">
        <v>27797</v>
      </c>
      <c r="BF30" s="45">
        <v>330804</v>
      </c>
      <c r="BG30" s="43">
        <v>325754</v>
      </c>
      <c r="BH30" s="43">
        <v>929445</v>
      </c>
      <c r="BI30" s="44">
        <v>953336</v>
      </c>
      <c r="BJ30" s="45">
        <v>804658</v>
      </c>
      <c r="BK30" s="43">
        <v>1279798</v>
      </c>
      <c r="BL30" s="43">
        <v>3103387</v>
      </c>
      <c r="BM30" s="44">
        <v>3254097</v>
      </c>
      <c r="BN30" s="45">
        <v>156130</v>
      </c>
      <c r="BO30" s="43">
        <v>379348</v>
      </c>
      <c r="BP30" s="43">
        <v>730845</v>
      </c>
      <c r="BQ30" s="44">
        <v>1120668</v>
      </c>
      <c r="BR30" s="45">
        <v>5165</v>
      </c>
      <c r="BS30" s="43">
        <f>BS26</f>
        <v>-146923</v>
      </c>
      <c r="BT30" s="43">
        <f>BT26</f>
        <v>19474</v>
      </c>
      <c r="BU30" s="44">
        <f>BU26</f>
        <v>-334811</v>
      </c>
      <c r="BV30" s="817"/>
      <c r="BW30" s="43"/>
      <c r="BX30" s="43"/>
      <c r="BY30" s="44"/>
      <c r="BZ30" s="1113">
        <v>2642800</v>
      </c>
      <c r="CA30" s="1105">
        <v>2302755</v>
      </c>
      <c r="CB30" s="1105">
        <v>8691196</v>
      </c>
      <c r="CC30" s="1114">
        <v>7691871</v>
      </c>
      <c r="CD30" s="54">
        <v>29244</v>
      </c>
      <c r="CE30" s="55">
        <v>91243</v>
      </c>
      <c r="CF30" s="55">
        <v>57664</v>
      </c>
      <c r="CG30" s="56">
        <v>200704</v>
      </c>
      <c r="CH30" s="57">
        <f>CH26</f>
        <v>300410</v>
      </c>
      <c r="CI30" s="818">
        <f t="shared" ref="CI30:CK30" si="10">CI26</f>
        <v>390033</v>
      </c>
      <c r="CJ30" s="818">
        <f t="shared" si="10"/>
        <v>547397</v>
      </c>
      <c r="CK30" s="1127">
        <f t="shared" si="10"/>
        <v>141895</v>
      </c>
      <c r="CL30" s="47">
        <v>725410</v>
      </c>
      <c r="CM30" s="43">
        <v>498156</v>
      </c>
      <c r="CN30" s="43">
        <v>229278</v>
      </c>
      <c r="CO30" s="48">
        <v>541356</v>
      </c>
      <c r="CP30" s="37">
        <f t="shared" si="2"/>
        <v>10739480</v>
      </c>
      <c r="CQ30" s="35">
        <f t="shared" si="2"/>
        <v>12551694</v>
      </c>
      <c r="CR30" s="35">
        <f t="shared" si="2"/>
        <v>32346389</v>
      </c>
      <c r="CS30" s="1096">
        <f t="shared" si="2"/>
        <v>37186605</v>
      </c>
      <c r="CT30" s="818">
        <v>37601</v>
      </c>
      <c r="CU30" s="58">
        <v>26352</v>
      </c>
      <c r="CV30" s="58">
        <v>252451</v>
      </c>
      <c r="CW30" s="59">
        <v>208135</v>
      </c>
      <c r="CX30" s="35">
        <f t="shared" si="3"/>
        <v>10777081</v>
      </c>
      <c r="CY30" s="35">
        <f t="shared" si="3"/>
        <v>12578046</v>
      </c>
      <c r="CZ30" s="35">
        <f t="shared" si="3"/>
        <v>32598840</v>
      </c>
      <c r="DA30" s="1096">
        <f t="shared" si="3"/>
        <v>37394740</v>
      </c>
    </row>
    <row r="31" spans="1:105" x14ac:dyDescent="0.3">
      <c r="A31" s="1089" t="s">
        <v>182</v>
      </c>
      <c r="B31" s="37"/>
      <c r="C31" s="34"/>
      <c r="D31" s="813"/>
      <c r="E31" s="813"/>
      <c r="F31" s="68"/>
      <c r="G31" s="66"/>
      <c r="H31" s="66"/>
      <c r="I31" s="71"/>
      <c r="J31" s="68"/>
      <c r="K31" s="66"/>
      <c r="L31" s="66"/>
      <c r="M31" s="67"/>
      <c r="N31" s="68"/>
      <c r="O31" s="66"/>
      <c r="P31" s="66"/>
      <c r="Q31" s="71"/>
      <c r="R31" s="70"/>
      <c r="S31" s="66"/>
      <c r="T31" s="66"/>
      <c r="U31" s="67"/>
      <c r="V31" s="68"/>
      <c r="W31" s="66"/>
      <c r="X31" s="66"/>
      <c r="Y31" s="67"/>
      <c r="Z31" s="68"/>
      <c r="AA31" s="66"/>
      <c r="AB31" s="66"/>
      <c r="AC31" s="67"/>
      <c r="AG31" s="67"/>
      <c r="AH31" s="68"/>
      <c r="AI31" s="66"/>
      <c r="AJ31" s="66"/>
      <c r="AK31" s="67"/>
      <c r="AL31" s="68"/>
      <c r="AM31" s="66"/>
      <c r="AN31" s="66"/>
      <c r="AO31" s="67"/>
      <c r="AP31" s="68"/>
      <c r="AQ31" s="66"/>
      <c r="AR31" s="66"/>
      <c r="AS31" s="67"/>
      <c r="AT31" s="68"/>
      <c r="AU31" s="66"/>
      <c r="AV31" s="66"/>
      <c r="AW31" s="67"/>
      <c r="AX31" s="162"/>
      <c r="AY31" s="51"/>
      <c r="AZ31" s="51"/>
      <c r="BA31" s="816"/>
      <c r="BB31" s="68"/>
      <c r="BC31" s="66"/>
      <c r="BD31" s="66"/>
      <c r="BE31" s="67"/>
      <c r="BF31" s="820"/>
      <c r="BG31" s="73"/>
      <c r="BH31" s="73"/>
      <c r="BI31" s="821"/>
      <c r="BJ31" s="68"/>
      <c r="BK31" s="66"/>
      <c r="BL31" s="66"/>
      <c r="BM31" s="67"/>
      <c r="BN31" s="68"/>
      <c r="BO31" s="66"/>
      <c r="BP31" s="66"/>
      <c r="BQ31" s="67"/>
      <c r="BR31" s="68"/>
      <c r="BS31" s="66"/>
      <c r="BT31" s="66"/>
      <c r="BU31" s="67"/>
      <c r="BV31" s="817"/>
      <c r="BW31" s="43"/>
      <c r="BX31" s="43"/>
      <c r="BY31" s="44"/>
      <c r="BZ31" s="1111"/>
      <c r="CA31" s="1104"/>
      <c r="CB31" s="1104"/>
      <c r="CC31" s="1112"/>
      <c r="CD31" s="54"/>
      <c r="CE31" s="55"/>
      <c r="CF31" s="55"/>
      <c r="CG31" s="56"/>
      <c r="CH31" s="57"/>
      <c r="CI31" s="58"/>
      <c r="CJ31" s="58"/>
      <c r="CK31" s="59"/>
      <c r="CL31" s="70"/>
      <c r="CM31" s="66"/>
      <c r="CN31" s="66"/>
      <c r="CO31" s="71"/>
      <c r="CP31" s="37">
        <f t="shared" si="2"/>
        <v>0</v>
      </c>
      <c r="CQ31" s="35">
        <f t="shared" si="2"/>
        <v>0</v>
      </c>
      <c r="CR31" s="35">
        <f t="shared" si="2"/>
        <v>0</v>
      </c>
      <c r="CS31" s="1096">
        <f t="shared" si="2"/>
        <v>0</v>
      </c>
      <c r="CT31" s="68"/>
      <c r="CU31" s="66"/>
      <c r="CV31" s="66"/>
      <c r="CW31" s="71"/>
      <c r="CX31" s="35">
        <f t="shared" si="3"/>
        <v>0</v>
      </c>
      <c r="CY31" s="35">
        <f t="shared" si="3"/>
        <v>0</v>
      </c>
      <c r="CZ31" s="35">
        <f t="shared" si="3"/>
        <v>0</v>
      </c>
      <c r="DA31" s="1096">
        <f t="shared" si="3"/>
        <v>0</v>
      </c>
    </row>
    <row r="32" spans="1:105" x14ac:dyDescent="0.3">
      <c r="A32" s="1087" t="s">
        <v>183</v>
      </c>
      <c r="B32" s="1085">
        <v>-1984412</v>
      </c>
      <c r="C32" s="814">
        <v>-3356331</v>
      </c>
      <c r="D32" s="815">
        <v>-2385817</v>
      </c>
      <c r="E32" s="815">
        <v>-4054134</v>
      </c>
      <c r="F32" s="45">
        <v>-5133844</v>
      </c>
      <c r="G32" s="43">
        <v>-3888624</v>
      </c>
      <c r="H32" s="43">
        <v>-4584076</v>
      </c>
      <c r="I32" s="48">
        <v>-3513822</v>
      </c>
      <c r="J32" s="45">
        <v>-13505451</v>
      </c>
      <c r="K32" s="43">
        <v>-12985243</v>
      </c>
      <c r="L32" s="43">
        <v>-13505451</v>
      </c>
      <c r="M32" s="44">
        <v>-12985243</v>
      </c>
      <c r="N32" s="45">
        <v>81152381</v>
      </c>
      <c r="O32" s="43">
        <v>76306585</v>
      </c>
      <c r="P32" s="43">
        <v>79646820</v>
      </c>
      <c r="Q32" s="48">
        <v>72485663</v>
      </c>
      <c r="R32" s="47">
        <v>-24853908</v>
      </c>
      <c r="S32" s="43">
        <v>-24141177</v>
      </c>
      <c r="T32" s="43">
        <v>-24529658</v>
      </c>
      <c r="U32" s="44">
        <v>-23802386</v>
      </c>
      <c r="V32" s="45">
        <v>-1507386</v>
      </c>
      <c r="W32" s="43">
        <v>-2995812</v>
      </c>
      <c r="X32" s="43">
        <v>-1597759</v>
      </c>
      <c r="Y32" s="44">
        <v>-3276206</v>
      </c>
      <c r="Z32" s="45"/>
      <c r="AA32" s="43"/>
      <c r="AB32" s="43">
        <v>-2480527</v>
      </c>
      <c r="AC32" s="44">
        <v>-3539405</v>
      </c>
      <c r="AD32" s="68">
        <v>-9784612</v>
      </c>
      <c r="AE32" s="66">
        <v>-6876021</v>
      </c>
      <c r="AF32" s="66">
        <v>-8375165</v>
      </c>
      <c r="AG32" s="44">
        <v>-6048207</v>
      </c>
      <c r="AH32" s="45">
        <v>-7948460</v>
      </c>
      <c r="AI32" s="43">
        <v>-8129465</v>
      </c>
      <c r="AJ32" s="43">
        <v>-7408329</v>
      </c>
      <c r="AK32" s="44">
        <v>-8010659</v>
      </c>
      <c r="AL32" s="45">
        <v>-15568595</v>
      </c>
      <c r="AM32" s="43">
        <v>-14097967</v>
      </c>
      <c r="AN32" s="43">
        <v>-14682622</v>
      </c>
      <c r="AO32" s="44">
        <v>-13249107</v>
      </c>
      <c r="AP32" s="45">
        <v>30608141</v>
      </c>
      <c r="AQ32" s="43">
        <v>21683360</v>
      </c>
      <c r="AR32" s="43">
        <v>23936526</v>
      </c>
      <c r="AS32" s="44">
        <v>16134918</v>
      </c>
      <c r="AT32" s="45">
        <v>17037328</v>
      </c>
      <c r="AU32" s="43">
        <v>14886905</v>
      </c>
      <c r="AV32" s="43">
        <v>16933615</v>
      </c>
      <c r="AW32" s="44">
        <v>12662916</v>
      </c>
      <c r="AX32" s="818">
        <v>-15612</v>
      </c>
      <c r="AY32" s="58">
        <v>-1018161</v>
      </c>
      <c r="AZ32" s="58">
        <v>-201512</v>
      </c>
      <c r="BA32" s="819">
        <v>-1210935</v>
      </c>
      <c r="BB32" s="45">
        <v>-1924526</v>
      </c>
      <c r="BC32" s="43">
        <v>-2141426</v>
      </c>
      <c r="BD32" s="43">
        <v>-1584372</v>
      </c>
      <c r="BE32" s="44">
        <v>-2046440</v>
      </c>
      <c r="BF32" s="45"/>
      <c r="BG32" s="43"/>
      <c r="BH32" s="43">
        <v>16758003</v>
      </c>
      <c r="BI32" s="44">
        <v>12623899</v>
      </c>
      <c r="BJ32" s="45"/>
      <c r="BK32" s="43"/>
      <c r="BL32" s="43">
        <v>6762696</v>
      </c>
      <c r="BM32" s="44">
        <v>4927471</v>
      </c>
      <c r="BN32" s="45">
        <v>-8801760</v>
      </c>
      <c r="BO32" s="43">
        <v>2951272</v>
      </c>
      <c r="BP32" s="43">
        <v>-9376475</v>
      </c>
      <c r="BQ32" s="44">
        <v>2209952</v>
      </c>
      <c r="BR32" s="45">
        <v>-2564418</v>
      </c>
      <c r="BS32" s="43">
        <v>-2771929</v>
      </c>
      <c r="BT32" s="43">
        <v>-2578727</v>
      </c>
      <c r="BU32" s="44">
        <v>-2584041</v>
      </c>
      <c r="BV32" s="817"/>
      <c r="BW32" s="43"/>
      <c r="BX32" s="43"/>
      <c r="BY32" s="44"/>
      <c r="BZ32" s="1113">
        <v>59792976</v>
      </c>
      <c r="CA32" s="1105">
        <v>50036926</v>
      </c>
      <c r="CB32" s="1105">
        <v>53744580</v>
      </c>
      <c r="CC32" s="1114">
        <v>44647810</v>
      </c>
      <c r="CD32" s="54">
        <v>4085232</v>
      </c>
      <c r="CE32" s="55">
        <v>3491685</v>
      </c>
      <c r="CF32" s="55">
        <v>4057512</v>
      </c>
      <c r="CG32" s="56">
        <v>3424344</v>
      </c>
      <c r="CH32" s="57">
        <v>20351</v>
      </c>
      <c r="CI32" s="58">
        <v>-1233722</v>
      </c>
      <c r="CJ32" s="58">
        <v>-226636</v>
      </c>
      <c r="CK32" s="59">
        <v>-985584</v>
      </c>
      <c r="CL32" s="47">
        <v>77208</v>
      </c>
      <c r="CM32" s="43">
        <v>-1082255</v>
      </c>
      <c r="CN32" s="43">
        <v>573340</v>
      </c>
      <c r="CO32" s="48">
        <v>-1125455</v>
      </c>
      <c r="CP32" s="37">
        <f t="shared" si="2"/>
        <v>99180633</v>
      </c>
      <c r="CQ32" s="35">
        <f t="shared" si="2"/>
        <v>84638600</v>
      </c>
      <c r="CR32" s="35">
        <f t="shared" si="2"/>
        <v>108895966</v>
      </c>
      <c r="CS32" s="1096">
        <f t="shared" si="2"/>
        <v>82685349</v>
      </c>
      <c r="CT32" s="45"/>
      <c r="CU32" s="43"/>
      <c r="CV32" s="43"/>
      <c r="CW32" s="48"/>
      <c r="CX32" s="35">
        <f t="shared" si="3"/>
        <v>99180633</v>
      </c>
      <c r="CY32" s="35">
        <f t="shared" si="3"/>
        <v>84638600</v>
      </c>
      <c r="CZ32" s="35">
        <f t="shared" si="3"/>
        <v>108895966</v>
      </c>
      <c r="DA32" s="1096">
        <f t="shared" si="3"/>
        <v>82685349</v>
      </c>
    </row>
    <row r="33" spans="1:105" x14ac:dyDescent="0.3">
      <c r="A33" s="1087" t="s">
        <v>184</v>
      </c>
      <c r="B33" s="1085"/>
      <c r="C33" s="814"/>
      <c r="D33" s="815"/>
      <c r="E33" s="815"/>
      <c r="F33" s="45"/>
      <c r="G33" s="43"/>
      <c r="H33" s="43"/>
      <c r="I33" s="48"/>
      <c r="J33" s="45"/>
      <c r="K33" s="43"/>
      <c r="L33" s="43"/>
      <c r="M33" s="44"/>
      <c r="N33" s="45"/>
      <c r="O33" s="43"/>
      <c r="P33" s="43"/>
      <c r="Q33" s="48"/>
      <c r="R33" s="47"/>
      <c r="S33" s="43"/>
      <c r="T33" s="43"/>
      <c r="U33" s="44"/>
      <c r="V33" s="45"/>
      <c r="W33" s="43"/>
      <c r="X33" s="43"/>
      <c r="Y33" s="44"/>
      <c r="Z33" s="45"/>
      <c r="AA33" s="43"/>
      <c r="AB33" s="43"/>
      <c r="AC33" s="44"/>
      <c r="AD33" s="45"/>
      <c r="AE33" s="43"/>
      <c r="AF33" s="43"/>
      <c r="AG33" s="44"/>
      <c r="AH33" s="45"/>
      <c r="AI33" s="43"/>
      <c r="AJ33" s="43"/>
      <c r="AK33" s="44"/>
      <c r="AL33" s="45"/>
      <c r="AM33" s="43"/>
      <c r="AN33" s="43"/>
      <c r="AO33" s="44"/>
      <c r="AP33" s="45"/>
      <c r="AQ33" s="43">
        <v>-2732204</v>
      </c>
      <c r="AR33" s="43"/>
      <c r="AS33" s="44">
        <v>-2732204</v>
      </c>
      <c r="AT33" s="45">
        <v>2296935</v>
      </c>
      <c r="AU33" s="43">
        <v>4880653</v>
      </c>
      <c r="AV33" s="43">
        <v>2296935</v>
      </c>
      <c r="AW33" s="44">
        <v>4880653</v>
      </c>
      <c r="AX33" s="818"/>
      <c r="AY33" s="58"/>
      <c r="AZ33" s="58"/>
      <c r="BA33" s="819"/>
      <c r="BB33" s="45"/>
      <c r="BC33" s="43"/>
      <c r="BD33" s="43"/>
      <c r="BE33" s="44"/>
      <c r="BF33" s="45"/>
      <c r="BG33" s="43"/>
      <c r="BH33" s="43"/>
      <c r="BI33" s="44"/>
      <c r="BJ33" s="45"/>
      <c r="BK33" s="43"/>
      <c r="BL33" s="43">
        <v>2340952</v>
      </c>
      <c r="BM33" s="44">
        <v>1630991</v>
      </c>
      <c r="BN33" s="45"/>
      <c r="BO33" s="43"/>
      <c r="BP33" s="43"/>
      <c r="BQ33" s="44"/>
      <c r="BR33" s="45"/>
      <c r="BS33" s="43"/>
      <c r="BT33" s="43"/>
      <c r="BU33" s="44"/>
      <c r="BV33" s="817"/>
      <c r="BW33" s="43"/>
      <c r="BX33" s="43"/>
      <c r="BY33" s="44"/>
      <c r="BZ33" s="1115"/>
      <c r="CA33" s="1106"/>
      <c r="CB33" s="1106"/>
      <c r="CC33" s="1116"/>
      <c r="CD33" s="54"/>
      <c r="CE33" s="55"/>
      <c r="CF33" s="55"/>
      <c r="CG33" s="56">
        <v>34081</v>
      </c>
      <c r="CH33" s="57"/>
      <c r="CI33" s="58"/>
      <c r="CJ33" s="58"/>
      <c r="CK33" s="59"/>
      <c r="CL33" s="47"/>
      <c r="CM33" s="43"/>
      <c r="CN33" s="43"/>
      <c r="CO33" s="48"/>
      <c r="CP33" s="37">
        <f t="shared" si="2"/>
        <v>2296935</v>
      </c>
      <c r="CQ33" s="35">
        <f t="shared" si="2"/>
        <v>2148449</v>
      </c>
      <c r="CR33" s="35">
        <f t="shared" si="2"/>
        <v>4637887</v>
      </c>
      <c r="CS33" s="1096">
        <f t="shared" si="2"/>
        <v>3813521</v>
      </c>
      <c r="CT33" s="45"/>
      <c r="CU33" s="43"/>
      <c r="CV33" s="43"/>
      <c r="CW33" s="48"/>
      <c r="CX33" s="35">
        <f t="shared" si="3"/>
        <v>2296935</v>
      </c>
      <c r="CY33" s="35">
        <f t="shared" si="3"/>
        <v>2148449</v>
      </c>
      <c r="CZ33" s="35">
        <f t="shared" si="3"/>
        <v>4637887</v>
      </c>
      <c r="DA33" s="1096">
        <f t="shared" si="3"/>
        <v>3813521</v>
      </c>
    </row>
    <row r="34" spans="1:105" x14ac:dyDescent="0.3">
      <c r="A34" s="1090" t="s">
        <v>185</v>
      </c>
      <c r="B34" s="1085"/>
      <c r="C34" s="814"/>
      <c r="D34" s="815"/>
      <c r="E34" s="815"/>
      <c r="F34" s="45"/>
      <c r="G34" s="43"/>
      <c r="H34" s="43"/>
      <c r="I34" s="48"/>
      <c r="J34" s="45"/>
      <c r="K34" s="43"/>
      <c r="L34" s="43"/>
      <c r="M34" s="44"/>
      <c r="N34" s="45"/>
      <c r="O34" s="43"/>
      <c r="P34" s="43">
        <v>1054963</v>
      </c>
      <c r="Q34" s="48"/>
      <c r="R34" s="47"/>
      <c r="S34" s="43"/>
      <c r="T34" s="43"/>
      <c r="U34" s="44"/>
      <c r="V34" s="45"/>
      <c r="W34" s="43"/>
      <c r="X34" s="43"/>
      <c r="Y34" s="44"/>
      <c r="Z34" s="45"/>
      <c r="AA34" s="43"/>
      <c r="AB34" s="43"/>
      <c r="AC34" s="44"/>
      <c r="AD34" s="45"/>
      <c r="AE34" s="43"/>
      <c r="AF34" s="43"/>
      <c r="AG34" s="44"/>
      <c r="AH34" s="45"/>
      <c r="AI34" s="43"/>
      <c r="AJ34" s="43"/>
      <c r="AK34" s="44"/>
      <c r="AL34" s="45"/>
      <c r="AM34" s="43"/>
      <c r="AN34" s="43"/>
      <c r="AO34" s="44"/>
      <c r="AP34" s="45"/>
      <c r="AQ34" s="43"/>
      <c r="AR34" s="43"/>
      <c r="AS34" s="44"/>
      <c r="AT34" s="45"/>
      <c r="AU34" s="43"/>
      <c r="AV34" s="43">
        <v>4737332</v>
      </c>
      <c r="AW34" s="44">
        <v>5023962</v>
      </c>
      <c r="AX34" s="818"/>
      <c r="AY34" s="58"/>
      <c r="AZ34" s="58"/>
      <c r="BA34" s="819"/>
      <c r="BB34" s="45"/>
      <c r="BC34" s="43"/>
      <c r="BD34" s="43"/>
      <c r="BE34" s="44"/>
      <c r="BF34" s="45"/>
      <c r="BG34" s="43"/>
      <c r="BH34" s="43"/>
      <c r="BI34" s="44"/>
      <c r="BJ34" s="45"/>
      <c r="BK34" s="43"/>
      <c r="BL34" s="43">
        <v>1630991</v>
      </c>
      <c r="BM34" s="44">
        <v>1228040</v>
      </c>
      <c r="BN34" s="45"/>
      <c r="BO34" s="43"/>
      <c r="BP34" s="43"/>
      <c r="BQ34" s="44"/>
      <c r="BR34" s="45"/>
      <c r="BS34" s="43"/>
      <c r="BT34" s="43"/>
      <c r="BU34" s="44"/>
      <c r="BV34" s="817"/>
      <c r="BW34" s="43"/>
      <c r="BX34" s="43"/>
      <c r="BY34" s="44"/>
      <c r="BZ34" s="1115"/>
      <c r="CA34" s="1106"/>
      <c r="CB34" s="1106"/>
      <c r="CC34" s="1116"/>
      <c r="CD34" s="54"/>
      <c r="CE34" s="55"/>
      <c r="CF34" s="55"/>
      <c r="CG34" s="56"/>
      <c r="CH34" s="57"/>
      <c r="CI34" s="58"/>
      <c r="CJ34" s="58"/>
      <c r="CK34" s="59"/>
      <c r="CL34" s="47"/>
      <c r="CM34" s="43"/>
      <c r="CN34" s="43"/>
      <c r="CO34" s="48"/>
      <c r="CP34" s="37">
        <f t="shared" si="2"/>
        <v>0</v>
      </c>
      <c r="CQ34" s="35">
        <f t="shared" si="2"/>
        <v>0</v>
      </c>
      <c r="CR34" s="35">
        <f t="shared" si="2"/>
        <v>7423286</v>
      </c>
      <c r="CS34" s="1096">
        <f t="shared" si="2"/>
        <v>6252002</v>
      </c>
      <c r="CT34" s="45"/>
      <c r="CU34" s="43"/>
      <c r="CV34" s="43"/>
      <c r="CW34" s="48"/>
      <c r="CX34" s="35">
        <f t="shared" si="3"/>
        <v>0</v>
      </c>
      <c r="CY34" s="35">
        <f t="shared" si="3"/>
        <v>0</v>
      </c>
      <c r="CZ34" s="35">
        <f t="shared" si="3"/>
        <v>7423286</v>
      </c>
      <c r="DA34" s="1096">
        <f t="shared" si="3"/>
        <v>6252002</v>
      </c>
    </row>
    <row r="35" spans="1:105" x14ac:dyDescent="0.3">
      <c r="A35" s="1087" t="s">
        <v>186</v>
      </c>
      <c r="B35" s="1085"/>
      <c r="C35" s="814"/>
      <c r="D35" s="815"/>
      <c r="E35" s="815"/>
      <c r="F35" s="45"/>
      <c r="G35" s="43"/>
      <c r="H35" s="43"/>
      <c r="I35" s="48"/>
      <c r="J35" s="45"/>
      <c r="K35" s="43"/>
      <c r="L35" s="43"/>
      <c r="M35" s="44"/>
      <c r="N35" s="45"/>
      <c r="O35" s="43"/>
      <c r="P35" s="43">
        <v>216851</v>
      </c>
      <c r="Q35" s="48"/>
      <c r="R35" s="47"/>
      <c r="S35" s="43"/>
      <c r="T35" s="43"/>
      <c r="U35" s="44"/>
      <c r="V35" s="45"/>
      <c r="W35" s="43"/>
      <c r="X35" s="43"/>
      <c r="Y35" s="44"/>
      <c r="Z35" s="45"/>
      <c r="AA35" s="43"/>
      <c r="AB35" s="43"/>
      <c r="AC35" s="44"/>
      <c r="AD35" s="45"/>
      <c r="AE35" s="43"/>
      <c r="AF35" s="43"/>
      <c r="AG35" s="44"/>
      <c r="AH35" s="45"/>
      <c r="AI35" s="43"/>
      <c r="AJ35" s="43"/>
      <c r="AK35" s="44"/>
      <c r="AL35" s="45"/>
      <c r="AM35" s="43"/>
      <c r="AN35" s="43"/>
      <c r="AO35" s="44"/>
      <c r="AP35" s="45"/>
      <c r="AQ35" s="43">
        <v>-556222</v>
      </c>
      <c r="AR35" s="43"/>
      <c r="AS35" s="44">
        <v>-556222</v>
      </c>
      <c r="AT35" s="45">
        <v>472141</v>
      </c>
      <c r="AU35" s="43">
        <v>993586</v>
      </c>
      <c r="AV35" s="43">
        <v>1445914</v>
      </c>
      <c r="AW35" s="44">
        <v>2016339</v>
      </c>
      <c r="AX35" s="818"/>
      <c r="AY35" s="58"/>
      <c r="AZ35" s="58"/>
      <c r="BA35" s="819"/>
      <c r="BB35" s="45"/>
      <c r="BC35" s="43"/>
      <c r="BD35" s="43"/>
      <c r="BE35" s="44"/>
      <c r="BF35" s="45"/>
      <c r="BG35" s="43"/>
      <c r="BH35" s="43"/>
      <c r="BI35" s="44"/>
      <c r="BJ35" s="45"/>
      <c r="BK35" s="43"/>
      <c r="BL35" s="43">
        <v>816444</v>
      </c>
      <c r="BM35" s="44">
        <v>582031</v>
      </c>
      <c r="BN35" s="45"/>
      <c r="BO35" s="43"/>
      <c r="BP35" s="43"/>
      <c r="BQ35" s="44"/>
      <c r="BR35" s="45"/>
      <c r="BS35" s="43"/>
      <c r="BT35" s="43"/>
      <c r="BU35" s="44"/>
      <c r="BV35" s="817"/>
      <c r="BW35" s="43"/>
      <c r="BX35" s="43"/>
      <c r="BY35" s="44"/>
      <c r="BZ35" s="1115"/>
      <c r="CA35" s="1106"/>
      <c r="CB35" s="1106"/>
      <c r="CC35" s="1116"/>
      <c r="CD35" s="54"/>
      <c r="CE35" s="55"/>
      <c r="CF35" s="55"/>
      <c r="CG35" s="56">
        <v>6938</v>
      </c>
      <c r="CH35" s="57"/>
      <c r="CI35" s="58"/>
      <c r="CJ35" s="58"/>
      <c r="CK35" s="59"/>
      <c r="CL35" s="47"/>
      <c r="CM35" s="43"/>
      <c r="CN35" s="43"/>
      <c r="CO35" s="48"/>
      <c r="CP35" s="37">
        <f t="shared" si="2"/>
        <v>472141</v>
      </c>
      <c r="CQ35" s="35">
        <f t="shared" si="2"/>
        <v>437364</v>
      </c>
      <c r="CR35" s="35">
        <f t="shared" si="2"/>
        <v>2479209</v>
      </c>
      <c r="CS35" s="1096">
        <f t="shared" si="2"/>
        <v>2049086</v>
      </c>
      <c r="CT35" s="45"/>
      <c r="CU35" s="43"/>
      <c r="CV35" s="43"/>
      <c r="CW35" s="48"/>
      <c r="CX35" s="35">
        <f t="shared" si="3"/>
        <v>472141</v>
      </c>
      <c r="CY35" s="35">
        <f t="shared" si="3"/>
        <v>437364</v>
      </c>
      <c r="CZ35" s="35">
        <f t="shared" si="3"/>
        <v>2479209</v>
      </c>
      <c r="DA35" s="1096">
        <f t="shared" si="3"/>
        <v>2049086</v>
      </c>
    </row>
    <row r="36" spans="1:105" x14ac:dyDescent="0.3">
      <c r="A36" s="1087" t="s">
        <v>187</v>
      </c>
      <c r="B36" s="37"/>
      <c r="C36" s="34"/>
      <c r="D36" s="813"/>
      <c r="E36" s="813"/>
      <c r="F36" s="68"/>
      <c r="G36" s="73"/>
      <c r="H36" s="73"/>
      <c r="I36" s="74"/>
      <c r="J36" s="68"/>
      <c r="K36" s="73"/>
      <c r="L36" s="73"/>
      <c r="M36" s="821"/>
      <c r="N36" s="68"/>
      <c r="O36" s="73"/>
      <c r="P36" s="73"/>
      <c r="Q36" s="74"/>
      <c r="R36" s="70"/>
      <c r="S36" s="73"/>
      <c r="T36" s="73"/>
      <c r="U36" s="821"/>
      <c r="V36" s="68"/>
      <c r="W36" s="73"/>
      <c r="X36" s="73"/>
      <c r="Y36" s="821"/>
      <c r="Z36" s="68"/>
      <c r="AA36" s="73"/>
      <c r="AB36" s="73"/>
      <c r="AC36" s="821"/>
      <c r="AD36" s="68"/>
      <c r="AE36" s="73"/>
      <c r="AF36" s="73"/>
      <c r="AG36" s="821"/>
      <c r="AH36" s="68"/>
      <c r="AI36" s="73"/>
      <c r="AJ36" s="73"/>
      <c r="AK36" s="821"/>
      <c r="AL36" s="68"/>
      <c r="AM36" s="73"/>
      <c r="AN36" s="73"/>
      <c r="AO36" s="821"/>
      <c r="AP36" s="68"/>
      <c r="AQ36" s="73"/>
      <c r="AR36" s="73"/>
      <c r="AS36" s="821"/>
      <c r="AT36" s="68"/>
      <c r="AU36" s="73"/>
      <c r="AV36" s="73"/>
      <c r="AW36" s="821"/>
      <c r="AX36" s="162"/>
      <c r="AY36" s="824"/>
      <c r="AZ36" s="824"/>
      <c r="BA36" s="825"/>
      <c r="BB36" s="68"/>
      <c r="BC36" s="73"/>
      <c r="BD36" s="73"/>
      <c r="BE36" s="821"/>
      <c r="BF36" s="820"/>
      <c r="BG36" s="73"/>
      <c r="BH36" s="73"/>
      <c r="BI36" s="821"/>
      <c r="BJ36" s="68"/>
      <c r="BK36" s="73"/>
      <c r="BL36" s="73"/>
      <c r="BM36" s="821"/>
      <c r="BN36" s="68"/>
      <c r="BO36" s="73"/>
      <c r="BP36" s="73"/>
      <c r="BQ36" s="821"/>
      <c r="BR36" s="68"/>
      <c r="BS36" s="73"/>
      <c r="BT36" s="73"/>
      <c r="BU36" s="821"/>
      <c r="BV36" s="817"/>
      <c r="BW36" s="826"/>
      <c r="BX36" s="826"/>
      <c r="BY36" s="1100"/>
      <c r="BZ36" s="1115"/>
      <c r="CA36" s="1106"/>
      <c r="CB36" s="1106"/>
      <c r="CC36" s="1116"/>
      <c r="CD36" s="54"/>
      <c r="CE36" s="827"/>
      <c r="CF36" s="827"/>
      <c r="CG36" s="1125"/>
      <c r="CH36" s="57"/>
      <c r="CI36" s="828"/>
      <c r="CJ36" s="828"/>
      <c r="CK36" s="1128"/>
      <c r="CL36" s="70"/>
      <c r="CM36" s="73"/>
      <c r="CN36" s="73"/>
      <c r="CO36" s="74"/>
      <c r="CP36" s="37">
        <f t="shared" si="2"/>
        <v>0</v>
      </c>
      <c r="CQ36" s="35">
        <f t="shared" si="2"/>
        <v>0</v>
      </c>
      <c r="CR36" s="35">
        <f t="shared" si="2"/>
        <v>0</v>
      </c>
      <c r="CS36" s="1096">
        <f t="shared" si="2"/>
        <v>0</v>
      </c>
      <c r="CT36" s="68">
        <v>37601</v>
      </c>
      <c r="CU36" s="73">
        <v>26352</v>
      </c>
      <c r="CV36" s="73">
        <v>252451</v>
      </c>
      <c r="CW36" s="74">
        <v>208135</v>
      </c>
      <c r="CX36" s="35">
        <f t="shared" si="3"/>
        <v>37601</v>
      </c>
      <c r="CY36" s="35">
        <f t="shared" si="3"/>
        <v>26352</v>
      </c>
      <c r="CZ36" s="35">
        <f t="shared" si="3"/>
        <v>252451</v>
      </c>
      <c r="DA36" s="1096">
        <f t="shared" si="3"/>
        <v>208135</v>
      </c>
    </row>
    <row r="37" spans="1:105" s="830" customFormat="1" thickBot="1" x14ac:dyDescent="0.3">
      <c r="A37" s="1091" t="s">
        <v>188</v>
      </c>
      <c r="B37" s="906">
        <f t="shared" ref="B37:O37" si="11">B30+B32</f>
        <v>-1609863</v>
      </c>
      <c r="C37" s="829">
        <f t="shared" si="11"/>
        <v>-2843334</v>
      </c>
      <c r="D37" s="829">
        <f t="shared" si="11"/>
        <v>-1609863</v>
      </c>
      <c r="E37" s="829">
        <f t="shared" si="11"/>
        <v>-2843334</v>
      </c>
      <c r="F37" s="829">
        <f t="shared" si="11"/>
        <v>-5456386</v>
      </c>
      <c r="G37" s="829">
        <f t="shared" si="11"/>
        <v>-4079262</v>
      </c>
      <c r="H37" s="829">
        <f t="shared" si="11"/>
        <v>-5456386</v>
      </c>
      <c r="I37" s="829">
        <f t="shared" si="11"/>
        <v>-4079262</v>
      </c>
      <c r="J37" s="829">
        <f t="shared" si="11"/>
        <v>-13386924</v>
      </c>
      <c r="K37" s="829">
        <f t="shared" si="11"/>
        <v>-13042730</v>
      </c>
      <c r="L37" s="829">
        <f t="shared" si="11"/>
        <v>-13479364</v>
      </c>
      <c r="M37" s="829">
        <f t="shared" si="11"/>
        <v>-13531989</v>
      </c>
      <c r="N37" s="829">
        <f t="shared" si="11"/>
        <v>82274719</v>
      </c>
      <c r="O37" s="829">
        <f t="shared" si="11"/>
        <v>77935186</v>
      </c>
      <c r="P37" s="829">
        <v>82274719</v>
      </c>
      <c r="Q37" s="829">
        <f t="shared" ref="Q37:AS37" si="12">Q30+Q32</f>
        <v>77935186</v>
      </c>
      <c r="R37" s="829">
        <f t="shared" si="12"/>
        <v>-25056444</v>
      </c>
      <c r="S37" s="829">
        <f t="shared" si="12"/>
        <v>-24634204</v>
      </c>
      <c r="T37" s="829">
        <f t="shared" si="12"/>
        <v>-25056444</v>
      </c>
      <c r="U37" s="829">
        <f t="shared" si="12"/>
        <v>-24634204</v>
      </c>
      <c r="V37" s="829">
        <f t="shared" si="12"/>
        <v>-1359733</v>
      </c>
      <c r="W37" s="829">
        <f t="shared" si="12"/>
        <v>-2871993</v>
      </c>
      <c r="X37" s="829">
        <f t="shared" si="12"/>
        <v>-1359733</v>
      </c>
      <c r="Y37" s="829">
        <f t="shared" si="12"/>
        <v>-2871993</v>
      </c>
      <c r="Z37" s="829">
        <f t="shared" si="12"/>
        <v>149850</v>
      </c>
      <c r="AA37" s="829">
        <f t="shared" si="12"/>
        <v>273302</v>
      </c>
      <c r="AB37" s="829">
        <f t="shared" si="12"/>
        <v>-1837156</v>
      </c>
      <c r="AC37" s="829">
        <f t="shared" si="12"/>
        <v>-2797866</v>
      </c>
      <c r="AD37" s="829">
        <f t="shared" si="12"/>
        <v>-10404478</v>
      </c>
      <c r="AE37" s="829">
        <f t="shared" si="12"/>
        <v>-7404732</v>
      </c>
      <c r="AF37" s="829">
        <f t="shared" si="12"/>
        <v>-10404477</v>
      </c>
      <c r="AG37" s="829">
        <f t="shared" si="12"/>
        <v>-7404732</v>
      </c>
      <c r="AH37" s="829">
        <f t="shared" si="12"/>
        <v>-8152106</v>
      </c>
      <c r="AI37" s="829">
        <f t="shared" si="12"/>
        <v>-8152573</v>
      </c>
      <c r="AJ37" s="829">
        <f t="shared" si="12"/>
        <v>-8152106</v>
      </c>
      <c r="AK37" s="829">
        <f t="shared" si="12"/>
        <v>-8152573</v>
      </c>
      <c r="AL37" s="829">
        <f t="shared" si="12"/>
        <v>-15982880</v>
      </c>
      <c r="AM37" s="829">
        <f t="shared" si="12"/>
        <v>-14724371</v>
      </c>
      <c r="AN37" s="829">
        <f t="shared" si="12"/>
        <v>-15982880</v>
      </c>
      <c r="AO37" s="829">
        <f t="shared" si="12"/>
        <v>-14724371</v>
      </c>
      <c r="AP37" s="829">
        <f t="shared" si="12"/>
        <v>33064369</v>
      </c>
      <c r="AQ37" s="829">
        <f t="shared" si="12"/>
        <v>23756521</v>
      </c>
      <c r="AR37" s="829">
        <f t="shared" si="12"/>
        <v>33064369</v>
      </c>
      <c r="AS37" s="829">
        <f t="shared" si="12"/>
        <v>23756521</v>
      </c>
      <c r="AT37" s="829">
        <v>17232531</v>
      </c>
      <c r="AU37" s="829">
        <v>13530988</v>
      </c>
      <c r="AV37" s="829">
        <v>17232531</v>
      </c>
      <c r="AW37" s="829">
        <v>13530988</v>
      </c>
      <c r="AX37" s="829">
        <f t="shared" ref="AX37:BK37" si="13">AX30+AX32</f>
        <v>-12186</v>
      </c>
      <c r="AY37" s="829">
        <f t="shared" si="13"/>
        <v>-920240</v>
      </c>
      <c r="AZ37" s="829">
        <f t="shared" si="13"/>
        <v>-12186</v>
      </c>
      <c r="BA37" s="829">
        <f t="shared" si="13"/>
        <v>-920240</v>
      </c>
      <c r="BB37" s="829">
        <f t="shared" si="13"/>
        <v>-1753642</v>
      </c>
      <c r="BC37" s="829">
        <f t="shared" si="13"/>
        <v>-2018644</v>
      </c>
      <c r="BD37" s="829">
        <f t="shared" si="13"/>
        <v>-1753643</v>
      </c>
      <c r="BE37" s="829">
        <f t="shared" si="13"/>
        <v>-2018643</v>
      </c>
      <c r="BF37" s="829">
        <f t="shared" si="13"/>
        <v>330804</v>
      </c>
      <c r="BG37" s="829">
        <f t="shared" si="13"/>
        <v>325754</v>
      </c>
      <c r="BH37" s="829">
        <f t="shared" si="13"/>
        <v>17687448</v>
      </c>
      <c r="BI37" s="829">
        <f t="shared" si="13"/>
        <v>13577235</v>
      </c>
      <c r="BJ37" s="829">
        <f t="shared" si="13"/>
        <v>804658</v>
      </c>
      <c r="BK37" s="829">
        <f t="shared" si="13"/>
        <v>1279798</v>
      </c>
      <c r="BL37" s="829">
        <v>5077696</v>
      </c>
      <c r="BM37" s="829">
        <v>4740506</v>
      </c>
      <c r="BN37" s="829">
        <f t="shared" ref="BN37:DA37" si="14">BN30+BN32</f>
        <v>-8645630</v>
      </c>
      <c r="BO37" s="829">
        <f t="shared" si="14"/>
        <v>3330620</v>
      </c>
      <c r="BP37" s="829">
        <f t="shared" si="14"/>
        <v>-8645630</v>
      </c>
      <c r="BQ37" s="829">
        <f t="shared" si="14"/>
        <v>3330620</v>
      </c>
      <c r="BR37" s="829">
        <f t="shared" si="14"/>
        <v>-2559253</v>
      </c>
      <c r="BS37" s="829">
        <f t="shared" si="14"/>
        <v>-2918852</v>
      </c>
      <c r="BT37" s="829">
        <f t="shared" si="14"/>
        <v>-2559253</v>
      </c>
      <c r="BU37" s="903">
        <f t="shared" si="14"/>
        <v>-2918852</v>
      </c>
      <c r="BV37" s="909">
        <f t="shared" si="14"/>
        <v>0</v>
      </c>
      <c r="BW37" s="829">
        <f t="shared" si="14"/>
        <v>0</v>
      </c>
      <c r="BX37" s="829">
        <f t="shared" si="14"/>
        <v>0</v>
      </c>
      <c r="BY37" s="903">
        <f t="shared" si="14"/>
        <v>0</v>
      </c>
      <c r="BZ37" s="909">
        <f t="shared" si="14"/>
        <v>62435776</v>
      </c>
      <c r="CA37" s="829">
        <f t="shared" si="14"/>
        <v>52339681</v>
      </c>
      <c r="CB37" s="829">
        <f t="shared" si="14"/>
        <v>62435776</v>
      </c>
      <c r="CC37" s="910">
        <f t="shared" si="14"/>
        <v>52339681</v>
      </c>
      <c r="CD37" s="906">
        <v>4110476</v>
      </c>
      <c r="CE37" s="829">
        <v>3580428</v>
      </c>
      <c r="CF37" s="829">
        <v>4110476</v>
      </c>
      <c r="CG37" s="910">
        <v>3580428</v>
      </c>
      <c r="CH37" s="906">
        <f t="shared" si="14"/>
        <v>320761</v>
      </c>
      <c r="CI37" s="829">
        <f t="shared" si="14"/>
        <v>-843689</v>
      </c>
      <c r="CJ37" s="829">
        <f t="shared" si="14"/>
        <v>320761</v>
      </c>
      <c r="CK37" s="910">
        <f t="shared" si="14"/>
        <v>-843689</v>
      </c>
      <c r="CL37" s="906">
        <f t="shared" si="14"/>
        <v>802618</v>
      </c>
      <c r="CM37" s="829">
        <f t="shared" si="14"/>
        <v>-584099</v>
      </c>
      <c r="CN37" s="829">
        <f t="shared" si="14"/>
        <v>802618</v>
      </c>
      <c r="CO37" s="910">
        <f t="shared" si="14"/>
        <v>-584099</v>
      </c>
      <c r="CP37" s="37">
        <f t="shared" si="2"/>
        <v>107147037</v>
      </c>
      <c r="CQ37" s="35">
        <f t="shared" si="2"/>
        <v>91313555</v>
      </c>
      <c r="CR37" s="35">
        <f t="shared" si="2"/>
        <v>126697273</v>
      </c>
      <c r="CS37" s="1096">
        <f t="shared" si="2"/>
        <v>104465318</v>
      </c>
      <c r="CT37" s="1063">
        <f t="shared" si="14"/>
        <v>37601</v>
      </c>
      <c r="CU37" s="1064">
        <f t="shared" si="14"/>
        <v>26352</v>
      </c>
      <c r="CV37" s="1064">
        <f t="shared" si="14"/>
        <v>252451</v>
      </c>
      <c r="CW37" s="1065">
        <f t="shared" si="14"/>
        <v>208135</v>
      </c>
      <c r="CX37" s="1135">
        <f t="shared" si="14"/>
        <v>109957714</v>
      </c>
      <c r="CY37" s="1136">
        <f t="shared" si="14"/>
        <v>97216646</v>
      </c>
      <c r="CZ37" s="1136">
        <f t="shared" si="14"/>
        <v>141494806</v>
      </c>
      <c r="DA37" s="1137">
        <f t="shared" si="14"/>
        <v>120080089</v>
      </c>
    </row>
    <row r="38" spans="1:105" s="159" customFormat="1" x14ac:dyDescent="0.3">
      <c r="A38" s="1092" t="s">
        <v>189</v>
      </c>
      <c r="F38" s="7"/>
      <c r="G38" s="8"/>
      <c r="H38" s="8"/>
      <c r="I38" s="9"/>
      <c r="J38" s="7"/>
      <c r="K38" s="8"/>
      <c r="N38" s="7"/>
      <c r="O38" s="8"/>
      <c r="P38" s="8"/>
      <c r="Q38" s="9"/>
      <c r="V38" s="7"/>
      <c r="W38" s="8"/>
      <c r="X38" s="8"/>
      <c r="Y38" s="831"/>
      <c r="Z38" s="7"/>
      <c r="AA38" s="8"/>
      <c r="AB38" s="8"/>
      <c r="AC38" s="831"/>
      <c r="AH38" s="7"/>
      <c r="AI38" s="8"/>
      <c r="AJ38" s="8"/>
      <c r="AK38" s="831"/>
      <c r="AL38" s="7"/>
      <c r="AM38" s="8"/>
      <c r="AN38" s="8"/>
      <c r="AO38" s="831"/>
      <c r="AP38" s="7"/>
      <c r="AQ38" s="8"/>
      <c r="AR38" s="8"/>
      <c r="AS38" s="831"/>
      <c r="AT38" s="7"/>
      <c r="AU38" s="8"/>
      <c r="AV38" s="8"/>
      <c r="AW38" s="831"/>
      <c r="AX38" s="832"/>
      <c r="AY38" s="10"/>
      <c r="AZ38" s="10"/>
      <c r="BA38" s="833"/>
      <c r="BB38" s="7"/>
      <c r="BC38" s="8"/>
      <c r="BD38" s="8"/>
      <c r="BE38" s="831"/>
      <c r="BF38" s="7"/>
      <c r="BG38" s="8"/>
      <c r="BH38" s="8"/>
      <c r="BI38" s="831"/>
      <c r="BJ38" s="7"/>
      <c r="BK38" s="8"/>
      <c r="BL38" s="8"/>
      <c r="BM38" s="831"/>
      <c r="BN38" s="7"/>
      <c r="BO38" s="8"/>
      <c r="BP38" s="8"/>
      <c r="BQ38" s="831"/>
      <c r="BR38" s="7"/>
      <c r="BS38" s="8"/>
      <c r="BT38" s="8"/>
      <c r="BU38" s="831"/>
      <c r="BV38" s="834"/>
      <c r="BW38" s="8"/>
      <c r="BX38" s="8"/>
      <c r="BY38" s="831"/>
      <c r="BZ38" s="1117"/>
      <c r="CA38" s="1107"/>
      <c r="CB38" s="1107"/>
      <c r="CC38" s="1118"/>
      <c r="CD38" s="1102"/>
      <c r="CE38" s="835"/>
      <c r="CF38" s="835"/>
      <c r="CG38" s="1126"/>
      <c r="CH38" s="1124"/>
      <c r="CI38" s="836"/>
      <c r="CJ38" s="836"/>
      <c r="CK38" s="1129"/>
      <c r="CL38" s="46"/>
      <c r="CM38" s="8"/>
      <c r="CN38" s="8"/>
      <c r="CO38" s="9"/>
      <c r="CP38" s="69"/>
      <c r="CQ38" s="13"/>
      <c r="CR38" s="13"/>
      <c r="CS38" s="14"/>
      <c r="CT38" s="1062"/>
      <c r="CU38" s="123"/>
      <c r="CV38" s="123"/>
      <c r="CW38" s="143"/>
      <c r="CX38" s="1138"/>
      <c r="CY38" s="1139"/>
      <c r="CZ38" s="1140"/>
      <c r="DA38" s="1141"/>
    </row>
    <row r="39" spans="1:105" x14ac:dyDescent="0.3">
      <c r="A39" s="1087" t="s">
        <v>190</v>
      </c>
      <c r="B39" s="1085"/>
      <c r="C39" s="814"/>
      <c r="D39" s="815"/>
      <c r="E39" s="815"/>
      <c r="F39" s="45"/>
      <c r="G39" s="43"/>
      <c r="H39" s="43"/>
      <c r="I39" s="48"/>
      <c r="J39" s="45"/>
      <c r="K39" s="43"/>
      <c r="L39" s="43"/>
      <c r="M39" s="44"/>
      <c r="N39" s="45"/>
      <c r="O39" s="43"/>
      <c r="P39" s="43"/>
      <c r="Q39" s="48"/>
      <c r="R39" s="47"/>
      <c r="S39" s="43"/>
      <c r="T39" s="43"/>
      <c r="U39" s="44"/>
      <c r="V39" s="45"/>
      <c r="W39" s="43"/>
      <c r="X39" s="43"/>
      <c r="Y39" s="44"/>
      <c r="Z39" s="45"/>
      <c r="AA39" s="43"/>
      <c r="AB39" s="43"/>
      <c r="AC39" s="44"/>
      <c r="AD39" s="45"/>
      <c r="AE39" s="43"/>
      <c r="AF39" s="43"/>
      <c r="AG39" s="44"/>
      <c r="AH39" s="45"/>
      <c r="AI39" s="43"/>
      <c r="AJ39" s="43"/>
      <c r="AK39" s="44"/>
      <c r="AL39" s="45"/>
      <c r="AM39" s="43"/>
      <c r="AN39" s="43"/>
      <c r="AO39" s="44"/>
      <c r="AP39" s="45"/>
      <c r="AQ39" s="43"/>
      <c r="AR39" s="43"/>
      <c r="AS39" s="44"/>
      <c r="AT39" s="45"/>
      <c r="AU39" s="43"/>
      <c r="AV39" s="43"/>
      <c r="AW39" s="44"/>
      <c r="AX39" s="162"/>
      <c r="AY39" s="51"/>
      <c r="AZ39" s="51"/>
      <c r="BA39" s="816"/>
      <c r="BB39" s="45"/>
      <c r="BC39" s="43"/>
      <c r="BD39" s="43"/>
      <c r="BE39" s="44"/>
      <c r="BF39" s="45"/>
      <c r="BG39" s="43"/>
      <c r="BH39" s="43"/>
      <c r="BI39" s="44"/>
      <c r="BJ39" s="45"/>
      <c r="BK39" s="43"/>
      <c r="BL39" s="43"/>
      <c r="BM39" s="44"/>
      <c r="BN39" s="45"/>
      <c r="BO39" s="43"/>
      <c r="BP39" s="43"/>
      <c r="BQ39" s="44"/>
      <c r="BR39" s="45"/>
      <c r="BS39" s="43"/>
      <c r="BT39" s="43"/>
      <c r="BU39" s="44"/>
      <c r="BV39" s="817"/>
      <c r="BW39" s="43"/>
      <c r="BX39" s="43"/>
      <c r="BY39" s="44"/>
      <c r="BZ39" s="1111"/>
      <c r="CA39" s="1104"/>
      <c r="CB39" s="1104"/>
      <c r="CC39" s="1112"/>
      <c r="CD39" s="54"/>
      <c r="CE39" s="55"/>
      <c r="CF39" s="55"/>
      <c r="CG39" s="56"/>
      <c r="CH39" s="1130"/>
      <c r="CI39" s="1130"/>
      <c r="CJ39" s="1130"/>
      <c r="CK39" s="1131"/>
      <c r="CL39" s="47"/>
      <c r="CM39" s="43"/>
      <c r="CN39" s="43"/>
      <c r="CO39" s="48"/>
      <c r="CP39" s="70"/>
      <c r="CQ39" s="66"/>
      <c r="CR39" s="66"/>
      <c r="CS39" s="71"/>
      <c r="CT39" s="45"/>
      <c r="CU39" s="43"/>
      <c r="CV39" s="43"/>
      <c r="CW39" s="48"/>
      <c r="CX39" s="68"/>
      <c r="CY39" s="66"/>
      <c r="CZ39" s="43"/>
      <c r="DA39" s="48"/>
    </row>
    <row r="40" spans="1:105" x14ac:dyDescent="0.3">
      <c r="A40" s="1090" t="s">
        <v>191</v>
      </c>
      <c r="B40" s="944">
        <v>0.2</v>
      </c>
      <c r="C40" s="215">
        <v>0.27</v>
      </c>
      <c r="D40" s="837">
        <v>0.41</v>
      </c>
      <c r="E40" s="837">
        <v>0.64</v>
      </c>
      <c r="F40" s="45"/>
      <c r="G40" s="43"/>
      <c r="H40" s="43"/>
      <c r="I40" s="48"/>
      <c r="J40" s="45"/>
      <c r="K40" s="43"/>
      <c r="L40" s="8">
        <v>0.01</v>
      </c>
      <c r="M40" s="831">
        <v>0.27</v>
      </c>
      <c r="N40" s="45"/>
      <c r="O40" s="43"/>
      <c r="P40" s="43"/>
      <c r="Q40" s="48"/>
      <c r="R40" s="46">
        <v>0.08</v>
      </c>
      <c r="S40" s="8">
        <v>0.02</v>
      </c>
      <c r="T40" s="8">
        <v>0.22</v>
      </c>
      <c r="U40" s="831">
        <v>0.13</v>
      </c>
      <c r="V40" s="45"/>
      <c r="W40" s="43"/>
      <c r="X40" s="43"/>
      <c r="Y40" s="44"/>
      <c r="Z40" s="45"/>
      <c r="AA40" s="43"/>
      <c r="AB40" s="43"/>
      <c r="AC40" s="44"/>
      <c r="AD40" s="7">
        <v>-1.95</v>
      </c>
      <c r="AE40" s="8">
        <v>-1.99</v>
      </c>
      <c r="AF40" s="8">
        <v>6.4</v>
      </c>
      <c r="AG40" s="831">
        <v>5.0999999999999996</v>
      </c>
      <c r="AH40" s="45"/>
      <c r="AI40" s="43"/>
      <c r="AJ40" s="43"/>
      <c r="AK40" s="44"/>
      <c r="AL40" s="45"/>
      <c r="AM40" s="43"/>
      <c r="AN40" s="43"/>
      <c r="AO40" s="44"/>
      <c r="AP40" s="7">
        <v>1.22</v>
      </c>
      <c r="AQ40" s="8">
        <v>1.04</v>
      </c>
      <c r="AR40" s="8">
        <v>4.53</v>
      </c>
      <c r="AS40" s="831">
        <v>3.81</v>
      </c>
      <c r="AT40" s="7">
        <v>2.06</v>
      </c>
      <c r="AU40" s="8">
        <v>3.15</v>
      </c>
      <c r="AV40" s="43">
        <v>6.12</v>
      </c>
      <c r="AW40" s="44">
        <v>8.91</v>
      </c>
      <c r="AX40" s="838">
        <v>4.0000000000000001E-3</v>
      </c>
      <c r="AY40" s="839">
        <v>0.12</v>
      </c>
      <c r="AZ40" s="839">
        <v>0.24</v>
      </c>
      <c r="BA40" s="840">
        <v>0.38</v>
      </c>
      <c r="BB40" s="7">
        <v>0.27</v>
      </c>
      <c r="BC40" s="8">
        <v>0.2</v>
      </c>
      <c r="BD40" s="8">
        <v>0.27</v>
      </c>
      <c r="BE40" s="831">
        <v>0.04</v>
      </c>
      <c r="BF40" s="7">
        <v>0.65</v>
      </c>
      <c r="BG40" s="8">
        <v>0.64</v>
      </c>
      <c r="BH40" s="8">
        <v>1.82</v>
      </c>
      <c r="BI40" s="831">
        <v>1.87</v>
      </c>
      <c r="BJ40" s="45"/>
      <c r="BK40" s="43"/>
      <c r="BL40" s="43"/>
      <c r="BM40" s="44"/>
      <c r="BN40" s="45"/>
      <c r="BO40" s="43"/>
      <c r="BP40" s="43"/>
      <c r="BQ40" s="44"/>
      <c r="BR40" s="45"/>
      <c r="BS40" s="43"/>
      <c r="BT40" s="43"/>
      <c r="BU40" s="44"/>
      <c r="BV40" s="817"/>
      <c r="BW40" s="43"/>
      <c r="BX40" s="43"/>
      <c r="BY40" s="44"/>
      <c r="BZ40" s="1119">
        <v>2.64</v>
      </c>
      <c r="CA40" s="1108">
        <v>2.2999999999999998</v>
      </c>
      <c r="CB40" s="1108">
        <v>8.69</v>
      </c>
      <c r="CC40" s="1120">
        <v>7.69</v>
      </c>
      <c r="CD40" s="54"/>
      <c r="CE40" s="55"/>
      <c r="CF40" s="55"/>
      <c r="CG40" s="56"/>
      <c r="CH40" s="1124">
        <v>1.1599999999999999</v>
      </c>
      <c r="CI40" s="836">
        <v>1.51</v>
      </c>
      <c r="CJ40" s="836">
        <v>2.11</v>
      </c>
      <c r="CK40" s="1129">
        <v>0.55000000000000004</v>
      </c>
      <c r="CL40" s="47"/>
      <c r="CM40" s="43"/>
      <c r="CN40" s="43"/>
      <c r="CO40" s="48"/>
      <c r="CP40" s="70"/>
      <c r="CQ40" s="66"/>
      <c r="CR40" s="66"/>
      <c r="CS40" s="71"/>
      <c r="CT40" s="45"/>
      <c r="CU40" s="43"/>
      <c r="CV40" s="43"/>
      <c r="CW40" s="48"/>
      <c r="CX40" s="68"/>
      <c r="CY40" s="66"/>
      <c r="CZ40" s="43"/>
      <c r="DA40" s="48"/>
    </row>
    <row r="41" spans="1:105" ht="15" thickBot="1" x14ac:dyDescent="0.35">
      <c r="A41" s="1093" t="s">
        <v>192</v>
      </c>
      <c r="B41" s="37"/>
      <c r="C41" s="34"/>
      <c r="D41" s="813"/>
      <c r="E41" s="813"/>
      <c r="F41" s="68"/>
      <c r="G41" s="66"/>
      <c r="H41" s="66"/>
      <c r="I41" s="71"/>
      <c r="J41" s="68"/>
      <c r="K41" s="66"/>
      <c r="L41" s="66"/>
      <c r="M41" s="67"/>
      <c r="N41" s="68"/>
      <c r="O41" s="66"/>
      <c r="P41" s="66"/>
      <c r="Q41" s="71"/>
      <c r="R41" s="70"/>
      <c r="S41" s="66"/>
      <c r="T41" s="66"/>
      <c r="U41" s="67"/>
      <c r="V41" s="68"/>
      <c r="W41" s="66"/>
      <c r="X41" s="66"/>
      <c r="Y41" s="67"/>
      <c r="Z41" s="68"/>
      <c r="AA41" s="66"/>
      <c r="AB41" s="66"/>
      <c r="AC41" s="67"/>
      <c r="AD41" s="68"/>
      <c r="AE41" s="66"/>
      <c r="AF41" s="66"/>
      <c r="AG41" s="67"/>
      <c r="AH41" s="68"/>
      <c r="AI41" s="66"/>
      <c r="AJ41" s="66"/>
      <c r="AK41" s="67"/>
      <c r="AL41" s="68"/>
      <c r="AM41" s="66"/>
      <c r="AN41" s="66"/>
      <c r="AO41" s="67"/>
      <c r="AP41" s="12">
        <v>1.22</v>
      </c>
      <c r="AQ41" s="13">
        <v>1.03</v>
      </c>
      <c r="AR41" s="13">
        <v>4.5199999999999996</v>
      </c>
      <c r="AS41" s="278">
        <v>3.78</v>
      </c>
      <c r="AT41" s="12">
        <v>2.06</v>
      </c>
      <c r="AU41" s="13">
        <v>3.15</v>
      </c>
      <c r="AV41" s="66">
        <v>6.11</v>
      </c>
      <c r="AW41" s="67">
        <v>8.91</v>
      </c>
      <c r="AX41" s="162"/>
      <c r="AY41" s="51"/>
      <c r="AZ41" s="51"/>
      <c r="BA41" s="816"/>
      <c r="BB41" s="68"/>
      <c r="BC41" s="66"/>
      <c r="BD41" s="66"/>
      <c r="BE41" s="67"/>
      <c r="BF41" s="820"/>
      <c r="BG41" s="73"/>
      <c r="BH41" s="73"/>
      <c r="BI41" s="821"/>
      <c r="BJ41" s="68"/>
      <c r="BK41" s="66"/>
      <c r="BL41" s="66"/>
      <c r="BM41" s="67"/>
      <c r="BN41" s="68"/>
      <c r="BO41" s="66"/>
      <c r="BP41" s="66"/>
      <c r="BQ41" s="67"/>
      <c r="BR41" s="68"/>
      <c r="BS41" s="66"/>
      <c r="BT41" s="66"/>
      <c r="BU41" s="67"/>
      <c r="BV41" s="911"/>
      <c r="BW41" s="912"/>
      <c r="BX41" s="912"/>
      <c r="BY41" s="1101"/>
      <c r="BZ41" s="1121">
        <v>2.64</v>
      </c>
      <c r="CA41" s="1122">
        <v>2.2999999999999998</v>
      </c>
      <c r="CB41" s="1122">
        <v>8.69</v>
      </c>
      <c r="CC41" s="1123">
        <v>7.69</v>
      </c>
      <c r="CD41" s="199"/>
      <c r="CE41" s="200"/>
      <c r="CF41" s="200"/>
      <c r="CG41" s="201"/>
      <c r="CH41" s="1132">
        <v>1.1599999999999999</v>
      </c>
      <c r="CI41" s="1133">
        <v>1.51</v>
      </c>
      <c r="CJ41" s="1133">
        <v>2.11</v>
      </c>
      <c r="CK41" s="1134">
        <v>0.55000000000000004</v>
      </c>
      <c r="CL41" s="181"/>
      <c r="CM41" s="182"/>
      <c r="CN41" s="182"/>
      <c r="CO41" s="183"/>
      <c r="CP41" s="181"/>
      <c r="CQ41" s="182"/>
      <c r="CR41" s="182"/>
      <c r="CS41" s="183"/>
      <c r="CT41" s="184"/>
      <c r="CU41" s="182"/>
      <c r="CV41" s="182"/>
      <c r="CW41" s="183"/>
      <c r="CX41" s="184"/>
      <c r="CY41" s="182"/>
      <c r="CZ41" s="912"/>
      <c r="DA41" s="913"/>
    </row>
  </sheetData>
  <mergeCells count="29">
    <mergeCell ref="A1:CY1"/>
    <mergeCell ref="A2:CY2"/>
    <mergeCell ref="A3:A4"/>
    <mergeCell ref="B3:E3"/>
    <mergeCell ref="F3:I3"/>
    <mergeCell ref="J3:M3"/>
    <mergeCell ref="R3:U3"/>
    <mergeCell ref="V3:Y3"/>
    <mergeCell ref="Z3:AC3"/>
    <mergeCell ref="CX3:DA3"/>
    <mergeCell ref="N3:Q3"/>
    <mergeCell ref="BZ3:CC3"/>
    <mergeCell ref="CD3:CG3"/>
    <mergeCell ref="CH3:CK3"/>
    <mergeCell ref="CL3:CO3"/>
    <mergeCell ref="CP3:CS3"/>
    <mergeCell ref="CT3:CW3"/>
    <mergeCell ref="BV3:BY3"/>
    <mergeCell ref="AD3:AG3"/>
    <mergeCell ref="AH3:AK3"/>
    <mergeCell ref="BB3:BE3"/>
    <mergeCell ref="BF3:BI3"/>
    <mergeCell ref="BJ3:BM3"/>
    <mergeCell ref="BN3:BQ3"/>
    <mergeCell ref="BR3:BU3"/>
    <mergeCell ref="AL3:AO3"/>
    <mergeCell ref="AP3:AS3"/>
    <mergeCell ref="AT3:AW3"/>
    <mergeCell ref="AX3:BA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14"/>
  <sheetViews>
    <sheetView workbookViewId="0">
      <pane xSplit="1" topLeftCell="B1" activePane="topRight" state="frozen"/>
      <selection pane="topRight" activeCell="CH4" sqref="CH4:CK4"/>
    </sheetView>
  </sheetViews>
  <sheetFormatPr defaultRowHeight="13.5" x14ac:dyDescent="0.25"/>
  <cols>
    <col min="1" max="1" width="23.7109375" style="269" bestFit="1" customWidth="1"/>
    <col min="2" max="3" width="11.42578125" style="269" bestFit="1" customWidth="1"/>
    <col min="4" max="5" width="12.42578125" style="269" bestFit="1" customWidth="1"/>
    <col min="6" max="7" width="11.42578125" style="269" bestFit="1" customWidth="1"/>
    <col min="8" max="9" width="12.42578125" style="269" bestFit="1" customWidth="1"/>
    <col min="10" max="11" width="11.42578125" style="269" bestFit="1" customWidth="1"/>
    <col min="12" max="13" width="12.42578125" style="269" bestFit="1" customWidth="1"/>
    <col min="14" max="15" width="11.42578125" style="269" bestFit="1" customWidth="1"/>
    <col min="16" max="17" width="12.42578125" style="269" bestFit="1" customWidth="1"/>
    <col min="18" max="19" width="11.42578125" style="269" bestFit="1" customWidth="1"/>
    <col min="20" max="21" width="12.42578125" style="269" bestFit="1" customWidth="1"/>
    <col min="22" max="23" width="11.42578125" style="269" bestFit="1" customWidth="1"/>
    <col min="24" max="25" width="12.42578125" style="269" bestFit="1" customWidth="1"/>
    <col min="26" max="27" width="11.42578125" style="269" bestFit="1" customWidth="1"/>
    <col min="28" max="29" width="12.42578125" style="269" bestFit="1" customWidth="1"/>
    <col min="30" max="31" width="11.42578125" style="269" bestFit="1" customWidth="1"/>
    <col min="32" max="33" width="12.42578125" style="269" bestFit="1" customWidth="1"/>
    <col min="34" max="35" width="11.42578125" style="269" bestFit="1" customWidth="1"/>
    <col min="36" max="37" width="12.42578125" style="269" bestFit="1" customWidth="1"/>
    <col min="38" max="39" width="11.42578125" style="269" bestFit="1" customWidth="1"/>
    <col min="40" max="41" width="12.42578125" style="269" bestFit="1" customWidth="1"/>
    <col min="42" max="43" width="11.42578125" style="269" bestFit="1" customWidth="1"/>
    <col min="44" max="45" width="12.42578125" style="269" bestFit="1" customWidth="1"/>
    <col min="46" max="47" width="11.42578125" style="269" bestFit="1" customWidth="1"/>
    <col min="48" max="49" width="12.42578125" style="269" bestFit="1" customWidth="1"/>
    <col min="50" max="51" width="11.42578125" style="269" bestFit="1" customWidth="1"/>
    <col min="52" max="53" width="12.42578125" style="269" bestFit="1" customWidth="1"/>
    <col min="54" max="55" width="11.42578125" style="269" bestFit="1" customWidth="1"/>
    <col min="56" max="57" width="12.42578125" style="269" bestFit="1" customWidth="1"/>
    <col min="58" max="59" width="11.42578125" style="269" bestFit="1" customWidth="1"/>
    <col min="60" max="61" width="12.42578125" style="269" bestFit="1" customWidth="1"/>
    <col min="62" max="63" width="11.42578125" style="269" bestFit="1" customWidth="1"/>
    <col min="64" max="65" width="12.42578125" style="269" bestFit="1" customWidth="1"/>
    <col min="66" max="67" width="11.42578125" style="269" bestFit="1" customWidth="1"/>
    <col min="68" max="69" width="12.42578125" style="269" bestFit="1" customWidth="1"/>
    <col min="70" max="71" width="11.42578125" style="269" bestFit="1" customWidth="1"/>
    <col min="72" max="73" width="12.42578125" style="269" bestFit="1" customWidth="1"/>
    <col min="74" max="75" width="11.42578125" style="269" bestFit="1" customWidth="1"/>
    <col min="76" max="77" width="12.42578125" style="269" bestFit="1" customWidth="1"/>
    <col min="78" max="79" width="11.42578125" style="269" bestFit="1" customWidth="1"/>
    <col min="80" max="81" width="12.42578125" style="269" bestFit="1" customWidth="1"/>
    <col min="82" max="83" width="11.42578125" style="269" bestFit="1" customWidth="1"/>
    <col min="84" max="85" width="12.42578125" style="269" bestFit="1" customWidth="1"/>
    <col min="86" max="87" width="11.42578125" style="269" bestFit="1" customWidth="1"/>
    <col min="88" max="89" width="12.42578125" style="269" bestFit="1" customWidth="1"/>
    <col min="90" max="91" width="11.42578125" style="269" bestFit="1" customWidth="1"/>
    <col min="92" max="93" width="12.42578125" style="269" bestFit="1" customWidth="1"/>
    <col min="94" max="95" width="11.42578125" style="269" bestFit="1" customWidth="1"/>
    <col min="96" max="97" width="12.42578125" style="269" bestFit="1" customWidth="1"/>
    <col min="98" max="99" width="11.42578125" style="269" bestFit="1" customWidth="1"/>
    <col min="100" max="101" width="12.42578125" style="269" bestFit="1" customWidth="1"/>
    <col min="102" max="103" width="11.42578125" style="269" bestFit="1" customWidth="1"/>
    <col min="104" max="105" width="12.42578125" style="269" bestFit="1" customWidth="1"/>
    <col min="106" max="16384" width="9.140625" style="269"/>
  </cols>
  <sheetData>
    <row r="1" spans="1:105" x14ac:dyDescent="0.25">
      <c r="A1" s="1423" t="s">
        <v>0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  <c r="P1" s="1423"/>
      <c r="Q1" s="1423"/>
      <c r="R1" s="1423"/>
      <c r="S1" s="1423"/>
      <c r="T1" s="1423"/>
      <c r="U1" s="1423"/>
      <c r="V1" s="1423"/>
      <c r="W1" s="1423"/>
      <c r="X1" s="1423"/>
      <c r="Y1" s="1423"/>
      <c r="Z1" s="1423"/>
      <c r="AA1" s="1423"/>
      <c r="AB1" s="1423"/>
      <c r="AC1" s="1423"/>
      <c r="AD1" s="1423"/>
      <c r="AE1" s="1423"/>
      <c r="AF1" s="1423"/>
      <c r="AG1" s="1423"/>
      <c r="AH1" s="1423"/>
      <c r="AI1" s="1423"/>
      <c r="AJ1" s="1423"/>
      <c r="AK1" s="1423"/>
      <c r="AL1" s="1423"/>
      <c r="AM1" s="1423"/>
      <c r="AN1" s="1423"/>
      <c r="AO1" s="1423"/>
      <c r="AP1" s="1423"/>
      <c r="AQ1" s="1423"/>
      <c r="AR1" s="1423"/>
      <c r="AS1" s="1423"/>
      <c r="AT1" s="1423"/>
      <c r="AU1" s="1423"/>
      <c r="AV1" s="1423"/>
      <c r="AW1" s="1423"/>
      <c r="AX1" s="1423"/>
      <c r="AY1" s="1423"/>
      <c r="AZ1" s="1423"/>
      <c r="BA1" s="1423"/>
      <c r="BB1" s="1423"/>
      <c r="BC1" s="1423"/>
      <c r="BD1" s="1423"/>
      <c r="BE1" s="1423"/>
      <c r="BF1" s="1423"/>
      <c r="BG1" s="1423"/>
      <c r="BH1" s="1423"/>
      <c r="BI1" s="1423"/>
      <c r="BJ1" s="1423"/>
      <c r="BK1" s="1423"/>
      <c r="BL1" s="1423"/>
      <c r="BM1" s="1423"/>
      <c r="BN1" s="1423"/>
      <c r="BO1" s="1423"/>
      <c r="BP1" s="1423"/>
      <c r="BQ1" s="1423"/>
      <c r="BR1" s="1423"/>
      <c r="BS1" s="1423"/>
      <c r="BT1" s="1423"/>
      <c r="BU1" s="1423"/>
      <c r="BV1" s="1423"/>
      <c r="BW1" s="1423"/>
      <c r="BX1" s="1423"/>
      <c r="BY1" s="1423"/>
      <c r="BZ1" s="1423"/>
      <c r="CA1" s="1423"/>
      <c r="CB1" s="1423"/>
      <c r="CC1" s="1423"/>
      <c r="CD1" s="1423"/>
      <c r="CE1" s="1423"/>
      <c r="CF1" s="1423"/>
      <c r="CG1" s="1423"/>
      <c r="CH1" s="1423"/>
      <c r="CI1" s="1423"/>
      <c r="CJ1" s="1423"/>
      <c r="CK1" s="1423"/>
      <c r="CL1" s="1423"/>
      <c r="CM1" s="1423"/>
      <c r="CN1" s="1423"/>
      <c r="CO1" s="1423"/>
      <c r="CP1" s="1423"/>
      <c r="CQ1" s="1423"/>
      <c r="CR1" s="1423"/>
      <c r="CS1" s="1423"/>
      <c r="CT1" s="1423"/>
      <c r="CU1" s="1423"/>
      <c r="CV1" s="1423"/>
      <c r="CW1" s="1423"/>
      <c r="CX1" s="1423"/>
      <c r="CY1" s="1423"/>
    </row>
    <row r="2" spans="1:105" ht="14.25" thickBot="1" x14ac:dyDescent="0.3">
      <c r="A2" s="1379" t="s">
        <v>256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379"/>
      <c r="M2" s="1379"/>
      <c r="N2" s="1379"/>
      <c r="O2" s="1379"/>
      <c r="P2" s="1379"/>
      <c r="Q2" s="1379"/>
      <c r="R2" s="1379"/>
      <c r="S2" s="1379"/>
      <c r="T2" s="1379"/>
      <c r="U2" s="1379"/>
      <c r="V2" s="1379"/>
      <c r="W2" s="1379"/>
      <c r="X2" s="1379"/>
      <c r="Y2" s="1379"/>
      <c r="Z2" s="1379"/>
      <c r="AA2" s="1379"/>
      <c r="AB2" s="1379"/>
      <c r="AC2" s="1379"/>
      <c r="AD2" s="1379"/>
      <c r="AE2" s="1379"/>
      <c r="AF2" s="1379"/>
      <c r="AG2" s="1379"/>
      <c r="AH2" s="1379"/>
      <c r="AI2" s="1379"/>
      <c r="AJ2" s="1379"/>
      <c r="AK2" s="1379"/>
      <c r="AL2" s="1379"/>
      <c r="AM2" s="1379"/>
      <c r="AN2" s="1379"/>
      <c r="AO2" s="1379"/>
      <c r="AP2" s="1379"/>
      <c r="AQ2" s="1379"/>
      <c r="AR2" s="1379"/>
      <c r="AS2" s="1379"/>
      <c r="AT2" s="1379"/>
      <c r="AU2" s="1379"/>
      <c r="AV2" s="1379"/>
      <c r="AW2" s="1379"/>
      <c r="AX2" s="1379"/>
      <c r="AY2" s="1379"/>
      <c r="AZ2" s="1379"/>
      <c r="BA2" s="1379"/>
      <c r="BB2" s="1379"/>
      <c r="BC2" s="1379"/>
      <c r="BD2" s="1379"/>
      <c r="BE2" s="1379"/>
      <c r="BF2" s="1379"/>
      <c r="BG2" s="1379"/>
      <c r="BH2" s="1379"/>
      <c r="BI2" s="1379"/>
      <c r="BJ2" s="1379"/>
      <c r="BK2" s="1379"/>
      <c r="BL2" s="1379"/>
      <c r="BM2" s="1379"/>
      <c r="BN2" s="1379"/>
      <c r="BO2" s="1379"/>
      <c r="BP2" s="1379"/>
      <c r="BQ2" s="1379"/>
      <c r="BR2" s="1379"/>
      <c r="BS2" s="1379"/>
      <c r="BT2" s="1379"/>
      <c r="BU2" s="1379"/>
      <c r="BV2" s="1379"/>
      <c r="BW2" s="1379"/>
      <c r="BX2" s="1379"/>
      <c r="BY2" s="1379"/>
      <c r="BZ2" s="1379"/>
      <c r="CA2" s="1379"/>
      <c r="CB2" s="1379"/>
      <c r="CC2" s="1379"/>
      <c r="CD2" s="1379"/>
      <c r="CE2" s="1379"/>
      <c r="CF2" s="1379"/>
      <c r="CG2" s="1379"/>
      <c r="CH2" s="1379"/>
      <c r="CI2" s="1379"/>
      <c r="CJ2" s="1379"/>
      <c r="CK2" s="1379"/>
      <c r="CL2" s="1379"/>
      <c r="CM2" s="1379"/>
      <c r="CN2" s="1379"/>
      <c r="CO2" s="1379"/>
      <c r="CP2" s="1379"/>
      <c r="CQ2" s="1379"/>
      <c r="CR2" s="1379"/>
      <c r="CS2" s="1379"/>
      <c r="CT2" s="1379"/>
      <c r="CU2" s="1379"/>
      <c r="CV2" s="1379"/>
      <c r="CW2" s="1379"/>
      <c r="CX2" s="1379"/>
      <c r="CY2" s="1379"/>
    </row>
    <row r="3" spans="1:105" ht="14.25" thickBot="1" x14ac:dyDescent="0.3">
      <c r="A3" s="1449" t="s">
        <v>1</v>
      </c>
      <c r="B3" s="1451" t="s">
        <v>258</v>
      </c>
      <c r="C3" s="1451"/>
      <c r="D3" s="1451"/>
      <c r="E3" s="1452"/>
      <c r="F3" s="1453" t="s">
        <v>259</v>
      </c>
      <c r="G3" s="1454"/>
      <c r="H3" s="1454"/>
      <c r="I3" s="1454"/>
      <c r="J3" s="1453" t="s">
        <v>260</v>
      </c>
      <c r="K3" s="1454"/>
      <c r="L3" s="1454"/>
      <c r="M3" s="1455"/>
      <c r="N3" s="1456" t="s">
        <v>261</v>
      </c>
      <c r="O3" s="1457"/>
      <c r="P3" s="1457"/>
      <c r="Q3" s="1458"/>
      <c r="R3" s="1453" t="s">
        <v>262</v>
      </c>
      <c r="S3" s="1454"/>
      <c r="T3" s="1454"/>
      <c r="U3" s="1455"/>
      <c r="V3" s="1453" t="s">
        <v>263</v>
      </c>
      <c r="W3" s="1454"/>
      <c r="X3" s="1454"/>
      <c r="Y3" s="1455"/>
      <c r="Z3" s="1453" t="s">
        <v>264</v>
      </c>
      <c r="AA3" s="1454"/>
      <c r="AB3" s="1454"/>
      <c r="AC3" s="1455"/>
      <c r="AD3" s="1453" t="s">
        <v>265</v>
      </c>
      <c r="AE3" s="1454"/>
      <c r="AF3" s="1454"/>
      <c r="AG3" s="1455"/>
      <c r="AH3" s="1453" t="s">
        <v>266</v>
      </c>
      <c r="AI3" s="1454"/>
      <c r="AJ3" s="1454"/>
      <c r="AK3" s="1455"/>
      <c r="AL3" s="1453" t="s">
        <v>267</v>
      </c>
      <c r="AM3" s="1454"/>
      <c r="AN3" s="1454"/>
      <c r="AO3" s="1455"/>
      <c r="AP3" s="1453" t="s">
        <v>268</v>
      </c>
      <c r="AQ3" s="1454"/>
      <c r="AR3" s="1454"/>
      <c r="AS3" s="1455"/>
      <c r="AT3" s="1453" t="s">
        <v>269</v>
      </c>
      <c r="AU3" s="1454"/>
      <c r="AV3" s="1454"/>
      <c r="AW3" s="1455"/>
      <c r="AX3" s="1453" t="s">
        <v>270</v>
      </c>
      <c r="AY3" s="1454"/>
      <c r="AZ3" s="1454"/>
      <c r="BA3" s="1455"/>
      <c r="BB3" s="1453" t="s">
        <v>271</v>
      </c>
      <c r="BC3" s="1454"/>
      <c r="BD3" s="1454"/>
      <c r="BE3" s="1455"/>
      <c r="BF3" s="1462" t="s">
        <v>272</v>
      </c>
      <c r="BG3" s="1462"/>
      <c r="BH3" s="1462"/>
      <c r="BI3" s="1463"/>
      <c r="BJ3" s="1454" t="s">
        <v>273</v>
      </c>
      <c r="BK3" s="1454"/>
      <c r="BL3" s="1454"/>
      <c r="BM3" s="1464"/>
      <c r="BN3" s="1465" t="s">
        <v>274</v>
      </c>
      <c r="BO3" s="1454"/>
      <c r="BP3" s="1454"/>
      <c r="BQ3" s="1455"/>
      <c r="BR3" s="1454" t="s">
        <v>275</v>
      </c>
      <c r="BS3" s="1454"/>
      <c r="BT3" s="1454"/>
      <c r="BU3" s="1455"/>
      <c r="BV3" s="1459" t="s">
        <v>276</v>
      </c>
      <c r="BW3" s="1460"/>
      <c r="BX3" s="1460"/>
      <c r="BY3" s="1461"/>
      <c r="BZ3" s="1454" t="s">
        <v>277</v>
      </c>
      <c r="CA3" s="1454"/>
      <c r="CB3" s="1454"/>
      <c r="CC3" s="1455"/>
      <c r="CD3" s="1469" t="s">
        <v>278</v>
      </c>
      <c r="CE3" s="1470"/>
      <c r="CF3" s="1470"/>
      <c r="CG3" s="1471"/>
      <c r="CH3" s="1453" t="s">
        <v>279</v>
      </c>
      <c r="CI3" s="1454"/>
      <c r="CJ3" s="1454"/>
      <c r="CK3" s="1454"/>
      <c r="CL3" s="1469" t="s">
        <v>280</v>
      </c>
      <c r="CM3" s="1470"/>
      <c r="CN3" s="1470"/>
      <c r="CO3" s="1471"/>
      <c r="CP3" s="1469" t="s">
        <v>2</v>
      </c>
      <c r="CQ3" s="1470"/>
      <c r="CR3" s="1470"/>
      <c r="CS3" s="1470"/>
      <c r="CT3" s="1459" t="s">
        <v>281</v>
      </c>
      <c r="CU3" s="1460"/>
      <c r="CV3" s="1460"/>
      <c r="CW3" s="1461"/>
      <c r="CX3" s="1466" t="s">
        <v>3</v>
      </c>
      <c r="CY3" s="1467"/>
      <c r="CZ3" s="1467"/>
      <c r="DA3" s="1468"/>
    </row>
    <row r="4" spans="1:105" s="270" customFormat="1" ht="14.25" x14ac:dyDescent="0.3">
      <c r="A4" s="1450"/>
      <c r="B4" s="1" t="s">
        <v>4</v>
      </c>
      <c r="C4" s="2" t="s">
        <v>5</v>
      </c>
      <c r="D4" s="2" t="s">
        <v>6</v>
      </c>
      <c r="E4" s="3" t="s">
        <v>7</v>
      </c>
      <c r="F4" s="1" t="s">
        <v>4</v>
      </c>
      <c r="G4" s="2" t="s">
        <v>5</v>
      </c>
      <c r="H4" s="2" t="s">
        <v>6</v>
      </c>
      <c r="I4" s="3" t="s">
        <v>7</v>
      </c>
      <c r="J4" s="1" t="s">
        <v>4</v>
      </c>
      <c r="K4" s="2" t="s">
        <v>5</v>
      </c>
      <c r="L4" s="2" t="s">
        <v>6</v>
      </c>
      <c r="M4" s="3" t="s">
        <v>7</v>
      </c>
      <c r="N4" s="1" t="s">
        <v>4</v>
      </c>
      <c r="O4" s="2" t="s">
        <v>5</v>
      </c>
      <c r="P4" s="2" t="s">
        <v>6</v>
      </c>
      <c r="Q4" s="3" t="s">
        <v>7</v>
      </c>
      <c r="R4" s="1" t="s">
        <v>4</v>
      </c>
      <c r="S4" s="2" t="s">
        <v>5</v>
      </c>
      <c r="T4" s="2" t="s">
        <v>6</v>
      </c>
      <c r="U4" s="3" t="s">
        <v>7</v>
      </c>
      <c r="V4" s="1" t="s">
        <v>4</v>
      </c>
      <c r="W4" s="2" t="s">
        <v>5</v>
      </c>
      <c r="X4" s="2" t="s">
        <v>6</v>
      </c>
      <c r="Y4" s="3" t="s">
        <v>7</v>
      </c>
      <c r="Z4" s="1" t="s">
        <v>4</v>
      </c>
      <c r="AA4" s="2" t="s">
        <v>5</v>
      </c>
      <c r="AB4" s="2" t="s">
        <v>6</v>
      </c>
      <c r="AC4" s="3" t="s">
        <v>7</v>
      </c>
      <c r="AD4" s="1" t="s">
        <v>4</v>
      </c>
      <c r="AE4" s="2" t="s">
        <v>5</v>
      </c>
      <c r="AF4" s="2" t="s">
        <v>6</v>
      </c>
      <c r="AG4" s="3" t="s">
        <v>7</v>
      </c>
      <c r="AH4" s="1" t="s">
        <v>4</v>
      </c>
      <c r="AI4" s="2" t="s">
        <v>5</v>
      </c>
      <c r="AJ4" s="2" t="s">
        <v>6</v>
      </c>
      <c r="AK4" s="3" t="s">
        <v>7</v>
      </c>
      <c r="AL4" s="1" t="s">
        <v>4</v>
      </c>
      <c r="AM4" s="2" t="s">
        <v>5</v>
      </c>
      <c r="AN4" s="2" t="s">
        <v>6</v>
      </c>
      <c r="AO4" s="3" t="s">
        <v>7</v>
      </c>
      <c r="AP4" s="1" t="s">
        <v>4</v>
      </c>
      <c r="AQ4" s="2" t="s">
        <v>5</v>
      </c>
      <c r="AR4" s="2" t="s">
        <v>6</v>
      </c>
      <c r="AS4" s="3" t="s">
        <v>7</v>
      </c>
      <c r="AT4" s="1" t="s">
        <v>4</v>
      </c>
      <c r="AU4" s="2" t="s">
        <v>5</v>
      </c>
      <c r="AV4" s="2" t="s">
        <v>6</v>
      </c>
      <c r="AW4" s="3" t="s">
        <v>7</v>
      </c>
      <c r="AX4" s="1" t="s">
        <v>4</v>
      </c>
      <c r="AY4" s="2" t="s">
        <v>5</v>
      </c>
      <c r="AZ4" s="2" t="s">
        <v>6</v>
      </c>
      <c r="BA4" s="3" t="s">
        <v>7</v>
      </c>
      <c r="BB4" s="1" t="s">
        <v>4</v>
      </c>
      <c r="BC4" s="2" t="s">
        <v>5</v>
      </c>
      <c r="BD4" s="2" t="s">
        <v>6</v>
      </c>
      <c r="BE4" s="3" t="s">
        <v>7</v>
      </c>
      <c r="BF4" s="1" t="s">
        <v>4</v>
      </c>
      <c r="BG4" s="2" t="s">
        <v>5</v>
      </c>
      <c r="BH4" s="2" t="s">
        <v>6</v>
      </c>
      <c r="BI4" s="3" t="s">
        <v>7</v>
      </c>
      <c r="BJ4" s="1" t="s">
        <v>4</v>
      </c>
      <c r="BK4" s="2" t="s">
        <v>5</v>
      </c>
      <c r="BL4" s="2" t="s">
        <v>6</v>
      </c>
      <c r="BM4" s="3" t="s">
        <v>7</v>
      </c>
      <c r="BN4" s="1" t="s">
        <v>4</v>
      </c>
      <c r="BO4" s="2" t="s">
        <v>5</v>
      </c>
      <c r="BP4" s="2" t="s">
        <v>6</v>
      </c>
      <c r="BQ4" s="3" t="s">
        <v>7</v>
      </c>
      <c r="BR4" s="1" t="s">
        <v>4</v>
      </c>
      <c r="BS4" s="2" t="s">
        <v>5</v>
      </c>
      <c r="BT4" s="2" t="s">
        <v>6</v>
      </c>
      <c r="BU4" s="3" t="s">
        <v>7</v>
      </c>
      <c r="BV4" s="256" t="s">
        <v>4</v>
      </c>
      <c r="BW4" s="2" t="s">
        <v>5</v>
      </c>
      <c r="BX4" s="2" t="s">
        <v>6</v>
      </c>
      <c r="BY4" s="3" t="s">
        <v>7</v>
      </c>
      <c r="BZ4" s="1" t="s">
        <v>4</v>
      </c>
      <c r="CA4" s="2" t="s">
        <v>5</v>
      </c>
      <c r="CB4" s="2" t="s">
        <v>6</v>
      </c>
      <c r="CC4" s="3" t="s">
        <v>7</v>
      </c>
      <c r="CD4" s="256" t="s">
        <v>4</v>
      </c>
      <c r="CE4" s="2" t="s">
        <v>5</v>
      </c>
      <c r="CF4" s="2" t="s">
        <v>6</v>
      </c>
      <c r="CG4" s="3" t="s">
        <v>7</v>
      </c>
      <c r="CH4" s="256" t="s">
        <v>4</v>
      </c>
      <c r="CI4" s="2" t="s">
        <v>5</v>
      </c>
      <c r="CJ4" s="2" t="s">
        <v>6</v>
      </c>
      <c r="CK4" s="255" t="s">
        <v>7</v>
      </c>
      <c r="CL4" s="256" t="s">
        <v>4</v>
      </c>
      <c r="CM4" s="2" t="s">
        <v>5</v>
      </c>
      <c r="CN4" s="2" t="s">
        <v>6</v>
      </c>
      <c r="CO4" s="3" t="s">
        <v>7</v>
      </c>
      <c r="CP4" s="256" t="s">
        <v>4</v>
      </c>
      <c r="CQ4" s="2" t="s">
        <v>5</v>
      </c>
      <c r="CR4" s="2" t="s">
        <v>6</v>
      </c>
      <c r="CS4" s="255" t="s">
        <v>7</v>
      </c>
      <c r="CT4" s="256" t="s">
        <v>4</v>
      </c>
      <c r="CU4" s="2" t="s">
        <v>5</v>
      </c>
      <c r="CV4" s="2" t="s">
        <v>6</v>
      </c>
      <c r="CW4" s="3" t="s">
        <v>7</v>
      </c>
      <c r="CX4" s="256" t="s">
        <v>4</v>
      </c>
      <c r="CY4" s="2" t="s">
        <v>5</v>
      </c>
      <c r="CZ4" s="2" t="s">
        <v>6</v>
      </c>
      <c r="DA4" s="3" t="s">
        <v>7</v>
      </c>
    </row>
    <row r="5" spans="1:105" s="277" customFormat="1" ht="15" customHeight="1" x14ac:dyDescent="0.25">
      <c r="A5" s="307" t="s">
        <v>8</v>
      </c>
      <c r="B5" s="130">
        <v>28.15</v>
      </c>
      <c r="C5" s="5">
        <v>4.16</v>
      </c>
      <c r="D5" s="5">
        <v>39.97</v>
      </c>
      <c r="E5" s="6">
        <v>21.38</v>
      </c>
      <c r="F5" s="4"/>
      <c r="G5" s="5"/>
      <c r="H5" s="5"/>
      <c r="I5" s="129"/>
      <c r="J5" s="4">
        <v>4.0000000000000002E-4</v>
      </c>
      <c r="K5" s="5">
        <v>0.05</v>
      </c>
      <c r="L5" s="5">
        <v>7.0000000000000007E-2</v>
      </c>
      <c r="M5" s="6">
        <v>0.13</v>
      </c>
      <c r="N5" s="4">
        <v>0</v>
      </c>
      <c r="O5" s="5">
        <v>0</v>
      </c>
      <c r="P5" s="5">
        <v>5</v>
      </c>
      <c r="Q5" s="6">
        <v>1</v>
      </c>
      <c r="R5" s="4"/>
      <c r="S5" s="5"/>
      <c r="T5" s="5"/>
      <c r="U5" s="6"/>
      <c r="V5" s="4"/>
      <c r="W5" s="5"/>
      <c r="X5" s="5"/>
      <c r="Y5" s="6"/>
      <c r="Z5" s="4"/>
      <c r="AA5" s="5"/>
      <c r="AB5" s="271"/>
      <c r="AC5" s="272"/>
      <c r="AD5" s="273">
        <v>-0.04</v>
      </c>
      <c r="AE5" s="5">
        <v>0</v>
      </c>
      <c r="AF5" s="5">
        <v>0.08</v>
      </c>
      <c r="AG5" s="6">
        <v>-0.01</v>
      </c>
      <c r="AH5" s="4"/>
      <c r="AI5" s="5"/>
      <c r="AJ5" s="5"/>
      <c r="AK5" s="6"/>
      <c r="AL5" s="4">
        <v>6.77</v>
      </c>
      <c r="AM5" s="5">
        <v>0.11</v>
      </c>
      <c r="AN5" s="5">
        <v>7.02</v>
      </c>
      <c r="AO5" s="6">
        <v>0.16</v>
      </c>
      <c r="AP5" s="4">
        <v>0.72</v>
      </c>
      <c r="AQ5" s="5">
        <v>0.35</v>
      </c>
      <c r="AR5" s="5">
        <v>16.29</v>
      </c>
      <c r="AS5" s="6">
        <v>0.68</v>
      </c>
      <c r="AT5" s="4">
        <v>11</v>
      </c>
      <c r="AU5" s="5">
        <v>0</v>
      </c>
      <c r="AV5" s="5">
        <v>16</v>
      </c>
      <c r="AW5" s="6">
        <v>1</v>
      </c>
      <c r="AX5" s="4"/>
      <c r="AY5" s="5"/>
      <c r="AZ5" s="5"/>
      <c r="BA5" s="6"/>
      <c r="BB5" s="4">
        <v>0</v>
      </c>
      <c r="BC5" s="5">
        <v>0</v>
      </c>
      <c r="BD5" s="5">
        <v>0</v>
      </c>
      <c r="BE5" s="6"/>
      <c r="BF5" s="130">
        <v>0</v>
      </c>
      <c r="BG5" s="5">
        <v>0</v>
      </c>
      <c r="BH5" s="5">
        <v>0</v>
      </c>
      <c r="BI5" s="6">
        <v>408.31</v>
      </c>
      <c r="BJ5" s="130">
        <v>10.67</v>
      </c>
      <c r="BK5" s="5">
        <v>0.31</v>
      </c>
      <c r="BL5" s="5">
        <v>15.63</v>
      </c>
      <c r="BM5" s="5">
        <v>1.21</v>
      </c>
      <c r="BN5" s="5">
        <v>1.9E-3</v>
      </c>
      <c r="BO5" s="5">
        <v>4.0000000000000002E-4</v>
      </c>
      <c r="BP5" s="5">
        <v>3.0000000000000001E-3</v>
      </c>
      <c r="BQ5" s="6">
        <v>4.5999999999999999E-3</v>
      </c>
      <c r="BR5" s="130"/>
      <c r="BS5" s="5">
        <v>0.01</v>
      </c>
      <c r="BT5" s="5"/>
      <c r="BU5" s="6">
        <v>0.02</v>
      </c>
      <c r="BV5" s="4"/>
      <c r="BW5" s="5"/>
      <c r="BX5" s="5"/>
      <c r="BY5" s="6"/>
      <c r="BZ5" s="261">
        <v>6</v>
      </c>
      <c r="CA5" s="261">
        <v>24</v>
      </c>
      <c r="CB5" s="261">
        <v>56</v>
      </c>
      <c r="CC5" s="262">
        <v>97</v>
      </c>
      <c r="CD5" s="4"/>
      <c r="CE5" s="5"/>
      <c r="CF5" s="5"/>
      <c r="CG5" s="6"/>
      <c r="CH5" s="4">
        <v>1.2999999999999999E-3</v>
      </c>
      <c r="CI5" s="5">
        <v>1.26E-2</v>
      </c>
      <c r="CJ5" s="5">
        <v>8.6999999999999994E-3</v>
      </c>
      <c r="CK5" s="129">
        <v>1.5100000000000001E-2</v>
      </c>
      <c r="CL5" s="4">
        <v>0.39</v>
      </c>
      <c r="CM5" s="5">
        <v>0.56000000000000005</v>
      </c>
      <c r="CN5" s="5">
        <v>3.21</v>
      </c>
      <c r="CO5" s="6">
        <v>1.31</v>
      </c>
      <c r="CP5" s="240">
        <f>SUM(B5+F5+J5+N5+R5+V5+Z5+AD5+AH5+AL5+AP5+AT5+AX5+BB5+BF5+BJ5+BN5+BR5+BV5+BZ5+CD5+CH5+CL5)</f>
        <v>63.663599999999995</v>
      </c>
      <c r="CQ5" s="274">
        <f t="shared" ref="CQ5:CS14" si="0">SUM(C5+G5+K5+O5+S5+W5+AA5+AE5+AI5+AM5+AQ5+AU5+AY5+BC5+BG5+BK5+BO5+BS5+BW5+CA5+CE5+CI5+CM5)</f>
        <v>29.562999999999999</v>
      </c>
      <c r="CR5" s="274">
        <f t="shared" si="0"/>
        <v>159.2817</v>
      </c>
      <c r="CS5" s="275">
        <f t="shared" si="0"/>
        <v>532.20969999999977</v>
      </c>
      <c r="CT5" s="4">
        <v>80.209999999999994</v>
      </c>
      <c r="CU5" s="5">
        <v>91.4</v>
      </c>
      <c r="CV5" s="5">
        <v>920.44</v>
      </c>
      <c r="CW5" s="6">
        <v>447.36</v>
      </c>
      <c r="CX5" s="240">
        <f>CP5+CT5</f>
        <v>143.87359999999998</v>
      </c>
      <c r="CY5" s="118">
        <f t="shared" ref="CY5:DA5" si="1">CQ5+CU5</f>
        <v>120.96300000000001</v>
      </c>
      <c r="CZ5" s="118">
        <f t="shared" si="1"/>
        <v>1079.7217000000001</v>
      </c>
      <c r="DA5" s="276">
        <f t="shared" si="1"/>
        <v>979.56969999999978</v>
      </c>
    </row>
    <row r="6" spans="1:105" s="277" customFormat="1" x14ac:dyDescent="0.25">
      <c r="A6" s="307" t="s">
        <v>9</v>
      </c>
      <c r="B6" s="274">
        <v>12.22</v>
      </c>
      <c r="C6" s="118">
        <v>0.23</v>
      </c>
      <c r="D6" s="118">
        <v>33.74</v>
      </c>
      <c r="E6" s="276">
        <v>0.59</v>
      </c>
      <c r="F6" s="12"/>
      <c r="G6" s="13">
        <v>0.03</v>
      </c>
      <c r="H6" s="13"/>
      <c r="I6" s="278">
        <v>0.05</v>
      </c>
      <c r="J6" s="12"/>
      <c r="K6" s="13"/>
      <c r="L6" s="13"/>
      <c r="M6" s="14"/>
      <c r="N6" s="12">
        <v>117</v>
      </c>
      <c r="O6" s="13">
        <v>1</v>
      </c>
      <c r="P6" s="13">
        <v>256</v>
      </c>
      <c r="Q6" s="14">
        <v>5</v>
      </c>
      <c r="R6" s="12">
        <v>0.08</v>
      </c>
      <c r="S6" s="13"/>
      <c r="T6" s="13">
        <v>0.26</v>
      </c>
      <c r="U6" s="14"/>
      <c r="V6" s="12">
        <v>8.8699999999999992</v>
      </c>
      <c r="W6" s="13">
        <v>9.6999999999999993</v>
      </c>
      <c r="X6" s="13">
        <v>72.16</v>
      </c>
      <c r="Y6" s="14">
        <v>58.79</v>
      </c>
      <c r="Z6" s="12">
        <v>0.11</v>
      </c>
      <c r="AA6" s="13">
        <v>0.22</v>
      </c>
      <c r="AB6" s="279">
        <v>0.44</v>
      </c>
      <c r="AC6" s="280">
        <v>0.99</v>
      </c>
      <c r="AD6" s="273"/>
      <c r="AE6" s="13"/>
      <c r="AF6" s="13"/>
      <c r="AG6" s="14"/>
      <c r="AH6" s="12">
        <v>0.03</v>
      </c>
      <c r="AI6" s="13"/>
      <c r="AJ6" s="13">
        <v>0.08</v>
      </c>
      <c r="AK6" s="14"/>
      <c r="AL6" s="12">
        <v>13.27</v>
      </c>
      <c r="AM6" s="13"/>
      <c r="AN6" s="13">
        <v>29.97</v>
      </c>
      <c r="AO6" s="14"/>
      <c r="AP6" s="12">
        <v>240.31</v>
      </c>
      <c r="AQ6" s="13">
        <v>78.010000000000005</v>
      </c>
      <c r="AR6" s="13">
        <v>641.58000000000004</v>
      </c>
      <c r="AS6" s="14">
        <v>138.96</v>
      </c>
      <c r="AT6" s="12">
        <v>112</v>
      </c>
      <c r="AU6" s="13">
        <v>17</v>
      </c>
      <c r="AV6" s="13">
        <v>155</v>
      </c>
      <c r="AW6" s="14">
        <v>38</v>
      </c>
      <c r="AX6" s="263">
        <v>30.634699999999999</v>
      </c>
      <c r="AY6" s="264">
        <v>16.898900000000001</v>
      </c>
      <c r="AZ6" s="264">
        <v>73.559700000000007</v>
      </c>
      <c r="BA6" s="265">
        <v>30.491700000000002</v>
      </c>
      <c r="BB6" s="12">
        <v>53.7271</v>
      </c>
      <c r="BC6" s="13">
        <v>31.621400000000001</v>
      </c>
      <c r="BD6" s="13">
        <v>95.388300000000001</v>
      </c>
      <c r="BE6" s="14">
        <v>70.192599999999999</v>
      </c>
      <c r="BF6" s="69">
        <v>9.0761000000000003</v>
      </c>
      <c r="BG6" s="13">
        <v>2.7364999999999999</v>
      </c>
      <c r="BH6" s="13">
        <v>21.319199999999999</v>
      </c>
      <c r="BI6" s="14">
        <v>6.3056999999999999</v>
      </c>
      <c r="BJ6" s="69">
        <v>73.709999999999994</v>
      </c>
      <c r="BK6" s="13">
        <v>76.38</v>
      </c>
      <c r="BL6" s="13">
        <v>213.65</v>
      </c>
      <c r="BM6" s="13">
        <v>203.09</v>
      </c>
      <c r="BN6" s="13">
        <v>40.659999999999997</v>
      </c>
      <c r="BO6" s="13">
        <v>31.25</v>
      </c>
      <c r="BP6" s="13">
        <v>105.04</v>
      </c>
      <c r="BQ6" s="14">
        <v>83.53</v>
      </c>
      <c r="BR6" s="69"/>
      <c r="BS6" s="13"/>
      <c r="BT6" s="13"/>
      <c r="BU6" s="14"/>
      <c r="BV6" s="304"/>
      <c r="BW6" s="13"/>
      <c r="BX6" s="13"/>
      <c r="BY6" s="14"/>
      <c r="BZ6" s="261">
        <v>710</v>
      </c>
      <c r="CA6" s="261">
        <v>167</v>
      </c>
      <c r="CB6" s="261">
        <v>1555</v>
      </c>
      <c r="CC6" s="262">
        <v>700</v>
      </c>
      <c r="CD6" s="281"/>
      <c r="CE6" s="282">
        <v>0</v>
      </c>
      <c r="CF6" s="282">
        <v>0.01</v>
      </c>
      <c r="CG6" s="283">
        <v>0</v>
      </c>
      <c r="CH6" s="284">
        <v>13.6769</v>
      </c>
      <c r="CI6" s="285">
        <v>10.0946</v>
      </c>
      <c r="CJ6" s="285">
        <v>44.955399999999997</v>
      </c>
      <c r="CK6" s="286">
        <v>29.0076</v>
      </c>
      <c r="CL6" s="12">
        <v>0</v>
      </c>
      <c r="CM6" s="13">
        <v>0</v>
      </c>
      <c r="CN6" s="13">
        <v>1</v>
      </c>
      <c r="CO6" s="14">
        <v>1</v>
      </c>
      <c r="CP6" s="240">
        <f t="shared" ref="CP6:CP14" si="2">SUM(B6+F6+J6+N6+R6+V6+Z6+AD6+AH6+AL6+AP6+AT6+AX6+BB6+BF6+BJ6+BN6+BR6+BV6+BZ6+CD6+CH6+CL6)</f>
        <v>1435.3748000000001</v>
      </c>
      <c r="CQ6" s="274">
        <f t="shared" si="0"/>
        <v>442.17140000000001</v>
      </c>
      <c r="CR6" s="274">
        <f t="shared" si="0"/>
        <v>3299.1526000000003</v>
      </c>
      <c r="CS6" s="275">
        <f t="shared" si="0"/>
        <v>1365.9975999999999</v>
      </c>
      <c r="CT6" s="284">
        <v>25.55</v>
      </c>
      <c r="CU6" s="285">
        <v>0.08</v>
      </c>
      <c r="CV6" s="285">
        <v>26.88</v>
      </c>
      <c r="CW6" s="287">
        <v>1.07</v>
      </c>
      <c r="CX6" s="240">
        <f t="shared" ref="CX6:CX14" si="3">CP6+CT6</f>
        <v>1460.9248</v>
      </c>
      <c r="CY6" s="118">
        <f t="shared" ref="CY6:CY14" si="4">CQ6+CU6</f>
        <v>442.25139999999999</v>
      </c>
      <c r="CZ6" s="118">
        <f t="shared" ref="CZ6:CZ14" si="5">CR6+CV6</f>
        <v>3326.0326000000005</v>
      </c>
      <c r="DA6" s="276">
        <f t="shared" ref="DA6:DA14" si="6">CS6+CW6</f>
        <v>1367.0675999999999</v>
      </c>
    </row>
    <row r="7" spans="1:105" s="277" customFormat="1" x14ac:dyDescent="0.25">
      <c r="A7" s="307" t="s">
        <v>10</v>
      </c>
      <c r="B7" s="274">
        <v>24.76</v>
      </c>
      <c r="C7" s="118">
        <v>8.5299999999999994</v>
      </c>
      <c r="D7" s="118">
        <v>26.53</v>
      </c>
      <c r="E7" s="276">
        <v>15.44</v>
      </c>
      <c r="F7" s="12"/>
      <c r="G7" s="13"/>
      <c r="H7" s="13"/>
      <c r="I7" s="278"/>
      <c r="J7" s="12"/>
      <c r="K7" s="13"/>
      <c r="L7" s="13"/>
      <c r="M7" s="14"/>
      <c r="N7" s="12">
        <v>129</v>
      </c>
      <c r="O7" s="13">
        <v>87</v>
      </c>
      <c r="P7" s="13">
        <v>357</v>
      </c>
      <c r="Q7" s="14">
        <v>211</v>
      </c>
      <c r="R7" s="12">
        <v>0.41</v>
      </c>
      <c r="S7" s="13"/>
      <c r="T7" s="13">
        <v>0.41</v>
      </c>
      <c r="U7" s="14"/>
      <c r="V7" s="12">
        <v>2.5299999999999998</v>
      </c>
      <c r="W7" s="13"/>
      <c r="X7" s="13">
        <v>6.88</v>
      </c>
      <c r="Y7" s="14"/>
      <c r="Z7" s="12">
        <v>14.92</v>
      </c>
      <c r="AA7" s="13">
        <v>130.86000000000001</v>
      </c>
      <c r="AB7" s="279">
        <v>348.95</v>
      </c>
      <c r="AC7" s="280">
        <v>130.86000000000001</v>
      </c>
      <c r="AD7" s="273"/>
      <c r="AE7" s="13"/>
      <c r="AF7" s="13"/>
      <c r="AG7" s="14"/>
      <c r="AH7" s="12"/>
      <c r="AI7" s="13"/>
      <c r="AJ7" s="13"/>
      <c r="AK7" s="14"/>
      <c r="AL7" s="12">
        <v>0</v>
      </c>
      <c r="AM7" s="13"/>
      <c r="AN7" s="13"/>
      <c r="AO7" s="14"/>
      <c r="AP7" s="12">
        <v>276.25</v>
      </c>
      <c r="AQ7" s="13">
        <v>172.36</v>
      </c>
      <c r="AR7" s="13">
        <v>820.41</v>
      </c>
      <c r="AS7" s="14">
        <v>277.27999999999997</v>
      </c>
      <c r="AT7" s="12">
        <v>18</v>
      </c>
      <c r="AU7" s="13">
        <v>0</v>
      </c>
      <c r="AV7" s="13">
        <v>39</v>
      </c>
      <c r="AW7" s="14">
        <v>0</v>
      </c>
      <c r="AX7" s="263"/>
      <c r="AY7" s="264"/>
      <c r="AZ7" s="264"/>
      <c r="BA7" s="265"/>
      <c r="BB7" s="12">
        <v>0</v>
      </c>
      <c r="BC7" s="13">
        <v>0</v>
      </c>
      <c r="BD7" s="13">
        <v>0</v>
      </c>
      <c r="BE7" s="14">
        <v>0</v>
      </c>
      <c r="BF7" s="69">
        <v>25.5791</v>
      </c>
      <c r="BG7" s="13">
        <v>5.9198000000000004</v>
      </c>
      <c r="BH7" s="13">
        <v>59.773800000000001</v>
      </c>
      <c r="BI7" s="14">
        <v>8.2103000000000002</v>
      </c>
      <c r="BJ7" s="69"/>
      <c r="BK7" s="13"/>
      <c r="BL7" s="13"/>
      <c r="BM7" s="13"/>
      <c r="BN7" s="13"/>
      <c r="BO7" s="13"/>
      <c r="BP7" s="13"/>
      <c r="BQ7" s="14"/>
      <c r="BR7" s="69"/>
      <c r="BS7" s="13"/>
      <c r="BT7" s="13"/>
      <c r="BU7" s="14"/>
      <c r="BV7" s="304"/>
      <c r="BW7" s="13"/>
      <c r="BX7" s="13"/>
      <c r="BY7" s="14"/>
      <c r="BZ7" s="261">
        <v>1</v>
      </c>
      <c r="CA7" s="261">
        <v>2</v>
      </c>
      <c r="CB7" s="261">
        <v>5</v>
      </c>
      <c r="CC7" s="262">
        <v>4</v>
      </c>
      <c r="CD7" s="281">
        <v>19.05</v>
      </c>
      <c r="CE7" s="282">
        <v>52.42</v>
      </c>
      <c r="CF7" s="282">
        <v>104.08</v>
      </c>
      <c r="CG7" s="283">
        <v>130.09</v>
      </c>
      <c r="CH7" s="284">
        <v>0</v>
      </c>
      <c r="CI7" s="285">
        <v>0</v>
      </c>
      <c r="CJ7" s="285">
        <v>0</v>
      </c>
      <c r="CK7" s="286">
        <v>0</v>
      </c>
      <c r="CL7" s="12"/>
      <c r="CM7" s="13">
        <v>0.01</v>
      </c>
      <c r="CN7" s="13">
        <v>0</v>
      </c>
      <c r="CO7" s="14">
        <v>0.15</v>
      </c>
      <c r="CP7" s="240">
        <f t="shared" si="2"/>
        <v>511.4991</v>
      </c>
      <c r="CQ7" s="274">
        <f t="shared" si="0"/>
        <v>459.09980000000002</v>
      </c>
      <c r="CR7" s="274">
        <f t="shared" si="0"/>
        <v>1768.0337999999997</v>
      </c>
      <c r="CS7" s="275">
        <f t="shared" si="0"/>
        <v>777.0302999999999</v>
      </c>
      <c r="CT7" s="284">
        <v>0.03</v>
      </c>
      <c r="CU7" s="285">
        <v>2.02</v>
      </c>
      <c r="CV7" s="285">
        <v>2.2599999999999998</v>
      </c>
      <c r="CW7" s="287">
        <v>3.95</v>
      </c>
      <c r="CX7" s="240">
        <f t="shared" si="3"/>
        <v>511.52909999999997</v>
      </c>
      <c r="CY7" s="118">
        <f t="shared" si="4"/>
        <v>461.1198</v>
      </c>
      <c r="CZ7" s="118">
        <f t="shared" si="5"/>
        <v>1770.2937999999997</v>
      </c>
      <c r="DA7" s="276">
        <f t="shared" si="6"/>
        <v>780.98029999999994</v>
      </c>
    </row>
    <row r="8" spans="1:105" s="277" customFormat="1" x14ac:dyDescent="0.25">
      <c r="A8" s="307" t="s">
        <v>11</v>
      </c>
      <c r="B8" s="274">
        <v>19.170000000000002</v>
      </c>
      <c r="C8" s="118">
        <v>15.94</v>
      </c>
      <c r="D8" s="118">
        <v>85.7</v>
      </c>
      <c r="E8" s="276">
        <v>67</v>
      </c>
      <c r="F8" s="12">
        <v>0.34</v>
      </c>
      <c r="G8" s="13">
        <v>0.67</v>
      </c>
      <c r="H8" s="13">
        <v>0.34</v>
      </c>
      <c r="I8" s="278">
        <v>0.67</v>
      </c>
      <c r="J8" s="12">
        <v>0.49</v>
      </c>
      <c r="K8" s="13">
        <v>9.34</v>
      </c>
      <c r="L8" s="13">
        <v>8.6</v>
      </c>
      <c r="M8" s="14">
        <v>17.989999999999998</v>
      </c>
      <c r="N8" s="12">
        <v>18</v>
      </c>
      <c r="O8" s="13">
        <v>17</v>
      </c>
      <c r="P8" s="13">
        <v>45</v>
      </c>
      <c r="Q8" s="14">
        <v>48</v>
      </c>
      <c r="R8" s="12"/>
      <c r="S8" s="13"/>
      <c r="T8" s="13"/>
      <c r="U8" s="14"/>
      <c r="V8" s="12">
        <v>0.64</v>
      </c>
      <c r="W8" s="13"/>
      <c r="X8" s="13">
        <v>1.76</v>
      </c>
      <c r="Y8" s="14"/>
      <c r="Z8" s="12">
        <v>42.4</v>
      </c>
      <c r="AA8" s="13">
        <v>49.66</v>
      </c>
      <c r="AB8" s="279">
        <v>170.19</v>
      </c>
      <c r="AC8" s="280">
        <v>145.18</v>
      </c>
      <c r="AD8" s="273">
        <v>2.1</v>
      </c>
      <c r="AE8" s="13">
        <v>3.53</v>
      </c>
      <c r="AF8" s="13">
        <v>4.22</v>
      </c>
      <c r="AG8" s="14">
        <v>5.19</v>
      </c>
      <c r="AH8" s="12">
        <v>9.48</v>
      </c>
      <c r="AI8" s="13">
        <v>7.77</v>
      </c>
      <c r="AJ8" s="13">
        <v>37.03</v>
      </c>
      <c r="AK8" s="14">
        <v>32.31</v>
      </c>
      <c r="AL8" s="12">
        <v>3.59</v>
      </c>
      <c r="AM8" s="13">
        <v>7.76</v>
      </c>
      <c r="AN8" s="13">
        <v>10.41</v>
      </c>
      <c r="AO8" s="14">
        <v>24.82</v>
      </c>
      <c r="AP8" s="12">
        <v>51.32</v>
      </c>
      <c r="AQ8" s="13">
        <v>13.29</v>
      </c>
      <c r="AR8" s="13">
        <v>133.94999999999999</v>
      </c>
      <c r="AS8" s="14">
        <v>48.83</v>
      </c>
      <c r="AT8" s="12">
        <v>22</v>
      </c>
      <c r="AU8" s="13">
        <v>13</v>
      </c>
      <c r="AV8" s="13">
        <v>61</v>
      </c>
      <c r="AW8" s="14">
        <v>50</v>
      </c>
      <c r="AX8" s="263"/>
      <c r="AY8" s="264">
        <v>-8.0000000000000004E-4</v>
      </c>
      <c r="AZ8" s="264"/>
      <c r="BA8" s="265">
        <v>1.44E-2</v>
      </c>
      <c r="BB8" s="12">
        <v>2.0470000000000002</v>
      </c>
      <c r="BC8" s="13">
        <v>0.12155000000000001</v>
      </c>
      <c r="BD8" s="13">
        <v>19.496700000000001</v>
      </c>
      <c r="BE8" s="14">
        <v>0.90369999999999995</v>
      </c>
      <c r="BF8" s="69">
        <v>37.419800000000002</v>
      </c>
      <c r="BG8" s="13">
        <v>30.2974</v>
      </c>
      <c r="BH8" s="13">
        <v>104.91759999999999</v>
      </c>
      <c r="BI8" s="14">
        <v>82.304400000000001</v>
      </c>
      <c r="BJ8" s="69">
        <v>5.2</v>
      </c>
      <c r="BK8" s="13">
        <v>3.22</v>
      </c>
      <c r="BL8" s="13">
        <v>22.47</v>
      </c>
      <c r="BM8" s="13">
        <v>9.73</v>
      </c>
      <c r="BN8" s="13">
        <v>4.5</v>
      </c>
      <c r="BO8" s="13">
        <v>2.89</v>
      </c>
      <c r="BP8" s="13">
        <v>20.04</v>
      </c>
      <c r="BQ8" s="14">
        <v>10.91</v>
      </c>
      <c r="BR8" s="69">
        <v>0.06</v>
      </c>
      <c r="BS8" s="13">
        <v>0.09</v>
      </c>
      <c r="BT8" s="13">
        <v>0.19</v>
      </c>
      <c r="BU8" s="14">
        <v>0.22</v>
      </c>
      <c r="BV8" s="304"/>
      <c r="BW8" s="13"/>
      <c r="BX8" s="13"/>
      <c r="BY8" s="14"/>
      <c r="BZ8" s="261">
        <v>8</v>
      </c>
      <c r="CA8" s="261">
        <v>21</v>
      </c>
      <c r="CB8" s="261">
        <v>22</v>
      </c>
      <c r="CC8" s="262">
        <v>43</v>
      </c>
      <c r="CD8" s="281">
        <v>1.45</v>
      </c>
      <c r="CE8" s="282">
        <v>1.67</v>
      </c>
      <c r="CF8" s="282">
        <v>3.07</v>
      </c>
      <c r="CG8" s="283">
        <v>6.43</v>
      </c>
      <c r="CH8" s="284">
        <v>9.2600000000000002E-2</v>
      </c>
      <c r="CI8" s="285">
        <v>7.5200000000000003E-2</v>
      </c>
      <c r="CJ8" s="285">
        <v>0.4</v>
      </c>
      <c r="CK8" s="286">
        <v>2.6932999999999998</v>
      </c>
      <c r="CL8" s="12">
        <v>19.84</v>
      </c>
      <c r="CM8" s="13">
        <v>19.829999999999998</v>
      </c>
      <c r="CN8" s="13">
        <v>20.04</v>
      </c>
      <c r="CO8" s="14">
        <v>20.91</v>
      </c>
      <c r="CP8" s="240">
        <f t="shared" si="2"/>
        <v>248.13939999999999</v>
      </c>
      <c r="CQ8" s="274">
        <f t="shared" si="0"/>
        <v>217.15334999999999</v>
      </c>
      <c r="CR8" s="274">
        <f t="shared" si="0"/>
        <v>770.82430000000011</v>
      </c>
      <c r="CS8" s="275">
        <f t="shared" si="0"/>
        <v>617.10580000000004</v>
      </c>
      <c r="CT8" s="284">
        <v>0.1</v>
      </c>
      <c r="CU8" s="285">
        <v>9</v>
      </c>
      <c r="CV8" s="285">
        <v>11.97</v>
      </c>
      <c r="CW8" s="287">
        <v>13.29</v>
      </c>
      <c r="CX8" s="240">
        <f t="shared" si="3"/>
        <v>248.23939999999999</v>
      </c>
      <c r="CY8" s="118">
        <f t="shared" si="4"/>
        <v>226.15334999999999</v>
      </c>
      <c r="CZ8" s="118">
        <f t="shared" si="5"/>
        <v>782.79430000000013</v>
      </c>
      <c r="DA8" s="276">
        <f t="shared" si="6"/>
        <v>630.39580000000001</v>
      </c>
    </row>
    <row r="9" spans="1:105" s="277" customFormat="1" x14ac:dyDescent="0.25">
      <c r="A9" s="307" t="s">
        <v>12</v>
      </c>
      <c r="B9" s="274"/>
      <c r="C9" s="118"/>
      <c r="D9" s="118"/>
      <c r="E9" s="276"/>
      <c r="F9" s="12"/>
      <c r="G9" s="13"/>
      <c r="H9" s="13"/>
      <c r="I9" s="278"/>
      <c r="J9" s="12"/>
      <c r="K9" s="13"/>
      <c r="L9" s="13"/>
      <c r="M9" s="14"/>
      <c r="N9" s="12">
        <v>4</v>
      </c>
      <c r="O9" s="13">
        <v>2</v>
      </c>
      <c r="P9" s="13">
        <v>9</v>
      </c>
      <c r="Q9" s="14">
        <v>4</v>
      </c>
      <c r="R9" s="12"/>
      <c r="S9" s="13"/>
      <c r="T9" s="13"/>
      <c r="U9" s="14"/>
      <c r="V9" s="12"/>
      <c r="W9" s="13"/>
      <c r="X9" s="13"/>
      <c r="Y9" s="14"/>
      <c r="Z9" s="12">
        <v>1.55</v>
      </c>
      <c r="AA9" s="13"/>
      <c r="AB9" s="13">
        <v>2.95</v>
      </c>
      <c r="AC9" s="14"/>
      <c r="AD9" s="12"/>
      <c r="AE9" s="13"/>
      <c r="AF9" s="13"/>
      <c r="AG9" s="14"/>
      <c r="AH9" s="12"/>
      <c r="AI9" s="13"/>
      <c r="AJ9" s="13"/>
      <c r="AK9" s="14"/>
      <c r="AL9" s="12"/>
      <c r="AM9" s="13"/>
      <c r="AN9" s="13"/>
      <c r="AO9" s="14"/>
      <c r="AP9" s="12">
        <v>0.4</v>
      </c>
      <c r="AQ9" s="13">
        <v>3.03</v>
      </c>
      <c r="AR9" s="13">
        <v>3.5</v>
      </c>
      <c r="AS9" s="14">
        <v>6.14</v>
      </c>
      <c r="AT9" s="12"/>
      <c r="AU9" s="13"/>
      <c r="AV9" s="13"/>
      <c r="AW9" s="14"/>
      <c r="AX9" s="263"/>
      <c r="AY9" s="264"/>
      <c r="AZ9" s="264"/>
      <c r="BA9" s="265"/>
      <c r="BB9" s="12">
        <v>0</v>
      </c>
      <c r="BC9" s="13">
        <v>0</v>
      </c>
      <c r="BD9" s="13">
        <v>0</v>
      </c>
      <c r="BE9" s="14"/>
      <c r="BF9" s="69">
        <v>24.037099999999999</v>
      </c>
      <c r="BG9" s="13">
        <v>5.2472000000000003</v>
      </c>
      <c r="BH9" s="13">
        <v>50.822699999999998</v>
      </c>
      <c r="BI9" s="14">
        <v>5.5673000000000004</v>
      </c>
      <c r="BJ9" s="69"/>
      <c r="BK9" s="13"/>
      <c r="BL9" s="13"/>
      <c r="BM9" s="13"/>
      <c r="BN9" s="13"/>
      <c r="BO9" s="13"/>
      <c r="BP9" s="13"/>
      <c r="BQ9" s="14"/>
      <c r="BR9" s="69"/>
      <c r="BS9" s="13"/>
      <c r="BT9" s="13"/>
      <c r="BU9" s="14"/>
      <c r="BV9" s="304"/>
      <c r="BW9" s="13"/>
      <c r="BX9" s="13"/>
      <c r="BY9" s="14"/>
      <c r="BZ9" s="266"/>
      <c r="CA9" s="266"/>
      <c r="CB9" s="266"/>
      <c r="CC9" s="267"/>
      <c r="CD9" s="281"/>
      <c r="CE9" s="282"/>
      <c r="CF9" s="282"/>
      <c r="CG9" s="283"/>
      <c r="CH9" s="284">
        <v>0</v>
      </c>
      <c r="CI9" s="285">
        <v>0</v>
      </c>
      <c r="CJ9" s="285">
        <v>0</v>
      </c>
      <c r="CK9" s="286">
        <v>0</v>
      </c>
      <c r="CL9" s="12"/>
      <c r="CM9" s="13"/>
      <c r="CN9" s="13"/>
      <c r="CO9" s="14"/>
      <c r="CP9" s="240">
        <f t="shared" si="2"/>
        <v>29.987099999999998</v>
      </c>
      <c r="CQ9" s="274">
        <f t="shared" si="0"/>
        <v>10.277200000000001</v>
      </c>
      <c r="CR9" s="274">
        <f t="shared" si="0"/>
        <v>66.2727</v>
      </c>
      <c r="CS9" s="275">
        <f t="shared" si="0"/>
        <v>15.7073</v>
      </c>
      <c r="CT9" s="284">
        <v>0</v>
      </c>
      <c r="CU9" s="285">
        <v>0</v>
      </c>
      <c r="CV9" s="285">
        <v>0</v>
      </c>
      <c r="CW9" s="287">
        <v>0</v>
      </c>
      <c r="CX9" s="240">
        <f t="shared" si="3"/>
        <v>29.987099999999998</v>
      </c>
      <c r="CY9" s="118">
        <f t="shared" si="4"/>
        <v>10.277200000000001</v>
      </c>
      <c r="CZ9" s="118">
        <f t="shared" si="5"/>
        <v>66.2727</v>
      </c>
      <c r="DA9" s="276">
        <f t="shared" si="6"/>
        <v>15.7073</v>
      </c>
    </row>
    <row r="10" spans="1:105" s="277" customFormat="1" x14ac:dyDescent="0.25">
      <c r="A10" s="307" t="s">
        <v>13</v>
      </c>
      <c r="B10" s="274">
        <v>445.48</v>
      </c>
      <c r="C10" s="118">
        <v>270.5</v>
      </c>
      <c r="D10" s="118">
        <v>1392.87</v>
      </c>
      <c r="E10" s="276">
        <v>933.54</v>
      </c>
      <c r="F10" s="12">
        <v>2.5299999999999998</v>
      </c>
      <c r="G10" s="13">
        <v>1.06</v>
      </c>
      <c r="H10" s="13">
        <v>10.37</v>
      </c>
      <c r="I10" s="278">
        <v>1.36</v>
      </c>
      <c r="J10" s="12">
        <v>17.48</v>
      </c>
      <c r="K10" s="13">
        <v>18.84</v>
      </c>
      <c r="L10" s="13">
        <v>37.49</v>
      </c>
      <c r="M10" s="14">
        <v>70.41</v>
      </c>
      <c r="N10" s="12">
        <v>469</v>
      </c>
      <c r="O10" s="13">
        <v>459</v>
      </c>
      <c r="P10" s="13">
        <v>1342</v>
      </c>
      <c r="Q10" s="14">
        <v>1665</v>
      </c>
      <c r="R10" s="12">
        <v>64.89</v>
      </c>
      <c r="S10" s="13">
        <v>66.12</v>
      </c>
      <c r="T10" s="13">
        <v>198.97</v>
      </c>
      <c r="U10" s="14">
        <v>173.15</v>
      </c>
      <c r="V10" s="12">
        <v>95.78</v>
      </c>
      <c r="W10" s="13">
        <v>176.63</v>
      </c>
      <c r="X10" s="13">
        <v>269.44</v>
      </c>
      <c r="Y10" s="14">
        <v>2889.89</v>
      </c>
      <c r="Z10" s="12">
        <v>86.78</v>
      </c>
      <c r="AA10" s="13">
        <v>87.05</v>
      </c>
      <c r="AB10" s="13">
        <v>223.76</v>
      </c>
      <c r="AC10" s="14">
        <v>490.65</v>
      </c>
      <c r="AD10" s="12">
        <v>18.25</v>
      </c>
      <c r="AE10" s="13">
        <v>12.25</v>
      </c>
      <c r="AF10" s="13">
        <v>53.95</v>
      </c>
      <c r="AG10" s="14">
        <v>40.49</v>
      </c>
      <c r="AH10" s="12">
        <v>3.63</v>
      </c>
      <c r="AI10" s="13">
        <v>29.86</v>
      </c>
      <c r="AJ10" s="13">
        <v>16.84</v>
      </c>
      <c r="AK10" s="14">
        <v>57</v>
      </c>
      <c r="AL10" s="12">
        <v>66.459999999999994</v>
      </c>
      <c r="AM10" s="13">
        <v>57.45</v>
      </c>
      <c r="AN10" s="13">
        <v>174.99</v>
      </c>
      <c r="AO10" s="14">
        <v>175.43</v>
      </c>
      <c r="AP10" s="12">
        <v>1197.79</v>
      </c>
      <c r="AQ10" s="13">
        <v>964.09</v>
      </c>
      <c r="AR10" s="13">
        <v>3346.23</v>
      </c>
      <c r="AS10" s="14">
        <v>3103.38</v>
      </c>
      <c r="AT10" s="12">
        <v>522</v>
      </c>
      <c r="AU10" s="13">
        <v>105</v>
      </c>
      <c r="AV10" s="13">
        <v>1160</v>
      </c>
      <c r="AW10" s="14">
        <v>543</v>
      </c>
      <c r="AX10" s="263">
        <v>27.6434</v>
      </c>
      <c r="AY10" s="264">
        <v>2.5495999999999999</v>
      </c>
      <c r="AZ10" s="264">
        <v>30.116800000000001</v>
      </c>
      <c r="BA10" s="265">
        <v>8.5559999999999992</v>
      </c>
      <c r="BB10" s="12">
        <v>241.95920000000001</v>
      </c>
      <c r="BC10" s="13">
        <v>189.56379999999999</v>
      </c>
      <c r="BD10" s="13">
        <v>797.29639999999995</v>
      </c>
      <c r="BE10" s="14">
        <v>446.71789999999999</v>
      </c>
      <c r="BF10" s="288">
        <v>302.93400000000003</v>
      </c>
      <c r="BG10" s="289">
        <v>355.3827</v>
      </c>
      <c r="BH10" s="289">
        <v>991.74860000000001</v>
      </c>
      <c r="BI10" s="290">
        <v>854.82399999999996</v>
      </c>
      <c r="BJ10" s="69">
        <v>8.02</v>
      </c>
      <c r="BK10" s="13">
        <v>11.29</v>
      </c>
      <c r="BL10" s="13">
        <v>30.64</v>
      </c>
      <c r="BM10" s="13">
        <v>26.91</v>
      </c>
      <c r="BN10" s="13">
        <v>9.92</v>
      </c>
      <c r="BO10" s="13">
        <v>3.43</v>
      </c>
      <c r="BP10" s="13">
        <v>19.649999999999999</v>
      </c>
      <c r="BQ10" s="14">
        <v>11.99</v>
      </c>
      <c r="BR10" s="69">
        <v>17.64</v>
      </c>
      <c r="BS10" s="13">
        <v>47.43</v>
      </c>
      <c r="BT10" s="13">
        <v>74.34</v>
      </c>
      <c r="BU10" s="14">
        <v>124.69</v>
      </c>
      <c r="BV10" s="304"/>
      <c r="BW10" s="13"/>
      <c r="BX10" s="13"/>
      <c r="BY10" s="14"/>
      <c r="BZ10" s="261">
        <v>295</v>
      </c>
      <c r="CA10" s="261">
        <v>241</v>
      </c>
      <c r="CB10" s="261">
        <v>1235</v>
      </c>
      <c r="CC10" s="262">
        <v>567</v>
      </c>
      <c r="CD10" s="281">
        <v>51.32</v>
      </c>
      <c r="CE10" s="282">
        <v>26.7</v>
      </c>
      <c r="CF10" s="282">
        <v>113.72</v>
      </c>
      <c r="CG10" s="283">
        <v>100.03</v>
      </c>
      <c r="CH10" s="284">
        <v>3.6999999999999998E-2</v>
      </c>
      <c r="CI10" s="285">
        <v>1.1941999999999999</v>
      </c>
      <c r="CJ10" s="285">
        <v>0.19109999999999999</v>
      </c>
      <c r="CK10" s="286">
        <v>1.9383999999999999</v>
      </c>
      <c r="CL10" s="12">
        <v>18.77</v>
      </c>
      <c r="CM10" s="13">
        <v>17.79</v>
      </c>
      <c r="CN10" s="13">
        <v>63.58</v>
      </c>
      <c r="CO10" s="14">
        <v>40.79</v>
      </c>
      <c r="CP10" s="240">
        <f t="shared" si="2"/>
        <v>3963.3136</v>
      </c>
      <c r="CQ10" s="274">
        <f t="shared" si="0"/>
        <v>3144.1802999999991</v>
      </c>
      <c r="CR10" s="274">
        <f t="shared" si="0"/>
        <v>11583.192899999998</v>
      </c>
      <c r="CS10" s="275">
        <f t="shared" si="0"/>
        <v>12326.746300000001</v>
      </c>
      <c r="CT10" s="12">
        <v>17453.8</v>
      </c>
      <c r="CU10" s="13">
        <v>15725.98</v>
      </c>
      <c r="CV10" s="13">
        <v>59701.43</v>
      </c>
      <c r="CW10" s="14">
        <v>62527.64</v>
      </c>
      <c r="CX10" s="240">
        <f t="shared" si="3"/>
        <v>21417.113600000001</v>
      </c>
      <c r="CY10" s="118">
        <f t="shared" si="4"/>
        <v>18870.1603</v>
      </c>
      <c r="CZ10" s="118">
        <f t="shared" si="5"/>
        <v>71284.622900000002</v>
      </c>
      <c r="DA10" s="276">
        <f t="shared" si="6"/>
        <v>74854.386299999998</v>
      </c>
    </row>
    <row r="11" spans="1:105" s="277" customFormat="1" x14ac:dyDescent="0.25">
      <c r="A11" s="307" t="s">
        <v>14</v>
      </c>
      <c r="B11" s="274"/>
      <c r="C11" s="118"/>
      <c r="D11" s="118"/>
      <c r="E11" s="276"/>
      <c r="F11" s="12"/>
      <c r="G11" s="13"/>
      <c r="H11" s="13"/>
      <c r="I11" s="278"/>
      <c r="J11" s="12"/>
      <c r="K11" s="13"/>
      <c r="L11" s="13"/>
      <c r="M11" s="14"/>
      <c r="N11" s="12"/>
      <c r="O11" s="13">
        <v>3</v>
      </c>
      <c r="P11" s="13"/>
      <c r="Q11" s="14">
        <v>3</v>
      </c>
      <c r="R11" s="12"/>
      <c r="S11" s="13"/>
      <c r="T11" s="13"/>
      <c r="U11" s="14"/>
      <c r="V11" s="12"/>
      <c r="W11" s="13"/>
      <c r="X11" s="13"/>
      <c r="Y11" s="14"/>
      <c r="Z11" s="12"/>
      <c r="AA11" s="13"/>
      <c r="AB11" s="13"/>
      <c r="AC11" s="14"/>
      <c r="AD11" s="12"/>
      <c r="AE11" s="13"/>
      <c r="AF11" s="13"/>
      <c r="AG11" s="14"/>
      <c r="AH11" s="12"/>
      <c r="AI11" s="13"/>
      <c r="AJ11" s="13"/>
      <c r="AK11" s="14"/>
      <c r="AL11" s="12"/>
      <c r="AM11" s="13"/>
      <c r="AN11" s="13"/>
      <c r="AO11" s="14"/>
      <c r="AP11" s="12"/>
      <c r="AQ11" s="13"/>
      <c r="AR11" s="13"/>
      <c r="AS11" s="14"/>
      <c r="AT11" s="12"/>
      <c r="AU11" s="13"/>
      <c r="AV11" s="13"/>
      <c r="AW11" s="14"/>
      <c r="AX11" s="263"/>
      <c r="AY11" s="264"/>
      <c r="AZ11" s="264"/>
      <c r="BA11" s="265"/>
      <c r="BB11" s="12"/>
      <c r="BC11" s="13"/>
      <c r="BD11" s="13"/>
      <c r="BE11" s="14"/>
      <c r="BF11" s="288"/>
      <c r="BG11" s="289"/>
      <c r="BH11" s="289"/>
      <c r="BI11" s="290"/>
      <c r="BJ11" s="69"/>
      <c r="BK11" s="13"/>
      <c r="BL11" s="13"/>
      <c r="BM11" s="13"/>
      <c r="BN11" s="13"/>
      <c r="BO11" s="13"/>
      <c r="BP11" s="13"/>
      <c r="BQ11" s="14"/>
      <c r="BR11" s="69"/>
      <c r="BS11" s="13"/>
      <c r="BT11" s="13"/>
      <c r="BU11" s="14"/>
      <c r="BV11" s="304"/>
      <c r="BW11" s="13"/>
      <c r="BX11" s="13"/>
      <c r="BY11" s="14"/>
      <c r="BZ11" s="261"/>
      <c r="CA11" s="261"/>
      <c r="CB11" s="261"/>
      <c r="CC11" s="262"/>
      <c r="CD11" s="281"/>
      <c r="CE11" s="282"/>
      <c r="CF11" s="282"/>
      <c r="CG11" s="283"/>
      <c r="CH11" s="284"/>
      <c r="CI11" s="285"/>
      <c r="CJ11" s="285"/>
      <c r="CK11" s="286"/>
      <c r="CL11" s="12"/>
      <c r="CM11" s="13"/>
      <c r="CN11" s="13"/>
      <c r="CO11" s="14"/>
      <c r="CP11" s="240">
        <f t="shared" si="2"/>
        <v>0</v>
      </c>
      <c r="CQ11" s="274">
        <f t="shared" si="0"/>
        <v>3</v>
      </c>
      <c r="CR11" s="274">
        <f t="shared" si="0"/>
        <v>0</v>
      </c>
      <c r="CS11" s="275">
        <f t="shared" si="0"/>
        <v>3</v>
      </c>
      <c r="CT11" s="12"/>
      <c r="CU11" s="13"/>
      <c r="CV11" s="13"/>
      <c r="CW11" s="14"/>
      <c r="CX11" s="240">
        <f t="shared" si="3"/>
        <v>0</v>
      </c>
      <c r="CY11" s="118">
        <f t="shared" si="4"/>
        <v>3</v>
      </c>
      <c r="CZ11" s="118">
        <f t="shared" si="5"/>
        <v>0</v>
      </c>
      <c r="DA11" s="276">
        <f t="shared" si="6"/>
        <v>3</v>
      </c>
    </row>
    <row r="12" spans="1:105" s="277" customFormat="1" x14ac:dyDescent="0.25">
      <c r="A12" s="308" t="s">
        <v>15</v>
      </c>
      <c r="B12" s="306">
        <v>529.77</v>
      </c>
      <c r="C12" s="251">
        <v>299.35000000000002</v>
      </c>
      <c r="D12" s="251">
        <v>1578.82</v>
      </c>
      <c r="E12" s="310">
        <v>1037.95</v>
      </c>
      <c r="F12" s="12">
        <v>2.87</v>
      </c>
      <c r="G12" s="13">
        <v>1.76</v>
      </c>
      <c r="H12" s="13">
        <v>10.71</v>
      </c>
      <c r="I12" s="278">
        <v>2.08</v>
      </c>
      <c r="J12" s="12">
        <v>17.97</v>
      </c>
      <c r="K12" s="13">
        <v>28.23</v>
      </c>
      <c r="L12" s="13">
        <v>46.16</v>
      </c>
      <c r="M12" s="14">
        <v>88.53</v>
      </c>
      <c r="N12" s="12">
        <v>737</v>
      </c>
      <c r="O12" s="13">
        <v>568</v>
      </c>
      <c r="P12" s="13">
        <v>2013</v>
      </c>
      <c r="Q12" s="14">
        <v>1935</v>
      </c>
      <c r="R12" s="12">
        <v>65.38</v>
      </c>
      <c r="S12" s="13">
        <v>66.12</v>
      </c>
      <c r="T12" s="13">
        <v>199.64</v>
      </c>
      <c r="U12" s="14">
        <v>173.15</v>
      </c>
      <c r="V12" s="12">
        <v>107.81</v>
      </c>
      <c r="W12" s="13">
        <v>186.32</v>
      </c>
      <c r="X12" s="13">
        <v>350.25</v>
      </c>
      <c r="Y12" s="14">
        <v>347.77</v>
      </c>
      <c r="Z12" s="12">
        <v>145.75</v>
      </c>
      <c r="AA12" s="13">
        <v>267.79000000000002</v>
      </c>
      <c r="AB12" s="13">
        <v>746.3</v>
      </c>
      <c r="AC12" s="14">
        <v>767.68</v>
      </c>
      <c r="AD12" s="15">
        <v>20.309999999999999</v>
      </c>
      <c r="AE12" s="16">
        <v>15.78</v>
      </c>
      <c r="AF12" s="16">
        <v>58.25</v>
      </c>
      <c r="AG12" s="17">
        <v>45.67</v>
      </c>
      <c r="AH12" s="15">
        <v>13.14</v>
      </c>
      <c r="AI12" s="16">
        <v>37.630000000000003</v>
      </c>
      <c r="AJ12" s="16">
        <v>53.95</v>
      </c>
      <c r="AK12" s="17">
        <v>89.31</v>
      </c>
      <c r="AL12" s="15">
        <v>90.09</v>
      </c>
      <c r="AM12" s="16">
        <v>65.319999999999993</v>
      </c>
      <c r="AN12" s="16">
        <v>222.39</v>
      </c>
      <c r="AO12" s="17">
        <v>200.41</v>
      </c>
      <c r="AP12" s="15">
        <v>1766.79</v>
      </c>
      <c r="AQ12" s="16">
        <v>1231.1300000000001</v>
      </c>
      <c r="AR12" s="16">
        <v>4961.96</v>
      </c>
      <c r="AS12" s="17">
        <v>3575.27</v>
      </c>
      <c r="AT12" s="15">
        <v>685</v>
      </c>
      <c r="AU12" s="16">
        <v>136</v>
      </c>
      <c r="AV12" s="16">
        <v>1431</v>
      </c>
      <c r="AW12" s="17">
        <v>633</v>
      </c>
      <c r="AX12" s="15">
        <v>58.278100000000002</v>
      </c>
      <c r="AY12" s="16">
        <v>19.4406</v>
      </c>
      <c r="AZ12" s="16">
        <v>103.6765</v>
      </c>
      <c r="BA12" s="17">
        <v>39.062100000000001</v>
      </c>
      <c r="BB12" s="12">
        <v>297.733</v>
      </c>
      <c r="BC12" s="13">
        <v>221.30680000000001</v>
      </c>
      <c r="BD12" s="13">
        <v>912.18140000000005</v>
      </c>
      <c r="BE12" s="14">
        <v>517.8143</v>
      </c>
      <c r="BF12" s="69">
        <v>399.05</v>
      </c>
      <c r="BG12" s="13">
        <v>399.58</v>
      </c>
      <c r="BH12" s="13">
        <v>1228.58</v>
      </c>
      <c r="BI12" s="14">
        <v>961.29</v>
      </c>
      <c r="BJ12" s="69">
        <v>97.61</v>
      </c>
      <c r="BK12" s="13">
        <v>91.19</v>
      </c>
      <c r="BL12" s="13">
        <v>282.39</v>
      </c>
      <c r="BM12" s="13">
        <v>240.94</v>
      </c>
      <c r="BN12" s="13">
        <v>55.27</v>
      </c>
      <c r="BO12" s="13">
        <v>37.619999999999997</v>
      </c>
      <c r="BP12" s="13">
        <v>145.03</v>
      </c>
      <c r="BQ12" s="14">
        <v>106.89</v>
      </c>
      <c r="BR12" s="69">
        <v>17.7</v>
      </c>
      <c r="BS12" s="13">
        <v>47.52</v>
      </c>
      <c r="BT12" s="13">
        <v>74.52</v>
      </c>
      <c r="BU12" s="14">
        <v>124.92</v>
      </c>
      <c r="BV12" s="304"/>
      <c r="BW12" s="13"/>
      <c r="BX12" s="13"/>
      <c r="BY12" s="14"/>
      <c r="BZ12" s="175">
        <v>1020</v>
      </c>
      <c r="CA12" s="257">
        <v>455</v>
      </c>
      <c r="CB12" s="257">
        <v>2874</v>
      </c>
      <c r="CC12" s="258">
        <v>1411</v>
      </c>
      <c r="CD12" s="281">
        <v>71.819999999999993</v>
      </c>
      <c r="CE12" s="282">
        <v>80.790000000000006</v>
      </c>
      <c r="CF12" s="282">
        <v>220.88</v>
      </c>
      <c r="CG12" s="283">
        <v>236.56</v>
      </c>
      <c r="CH12" s="284">
        <v>13.8078</v>
      </c>
      <c r="CI12" s="285">
        <v>11.3766</v>
      </c>
      <c r="CJ12" s="285">
        <v>45.555199999999999</v>
      </c>
      <c r="CK12" s="286">
        <v>33.654400000000003</v>
      </c>
      <c r="CL12" s="12">
        <v>39.01</v>
      </c>
      <c r="CM12" s="13">
        <v>38.18</v>
      </c>
      <c r="CN12" s="13">
        <v>86.84</v>
      </c>
      <c r="CO12" s="14">
        <v>63.16</v>
      </c>
      <c r="CP12" s="240">
        <f t="shared" si="2"/>
        <v>6252.1589000000004</v>
      </c>
      <c r="CQ12" s="274">
        <f t="shared" si="0"/>
        <v>4305.4340000000002</v>
      </c>
      <c r="CR12" s="274">
        <f t="shared" si="0"/>
        <v>17646.0831</v>
      </c>
      <c r="CS12" s="275">
        <f t="shared" si="0"/>
        <v>12631.110799999997</v>
      </c>
      <c r="CT12" s="284">
        <v>17559.689999999999</v>
      </c>
      <c r="CU12" s="285">
        <v>15828.48</v>
      </c>
      <c r="CV12" s="285">
        <v>60662.98</v>
      </c>
      <c r="CW12" s="287">
        <v>62993.31</v>
      </c>
      <c r="CX12" s="240">
        <f t="shared" si="3"/>
        <v>23811.848899999997</v>
      </c>
      <c r="CY12" s="118">
        <f t="shared" si="4"/>
        <v>20133.914000000001</v>
      </c>
      <c r="CZ12" s="118">
        <f t="shared" si="5"/>
        <v>78309.063099999999</v>
      </c>
      <c r="DA12" s="276">
        <f t="shared" si="6"/>
        <v>75624.420799999993</v>
      </c>
    </row>
    <row r="13" spans="1:105" s="277" customFormat="1" x14ac:dyDescent="0.25">
      <c r="A13" s="307" t="s">
        <v>16</v>
      </c>
      <c r="B13" s="306"/>
      <c r="C13" s="251"/>
      <c r="D13" s="251"/>
      <c r="E13" s="310"/>
      <c r="F13" s="12"/>
      <c r="G13" s="13"/>
      <c r="H13" s="13"/>
      <c r="I13" s="278"/>
      <c r="J13" s="12"/>
      <c r="K13" s="13"/>
      <c r="L13" s="13"/>
      <c r="M13" s="14"/>
      <c r="N13" s="12"/>
      <c r="O13" s="13"/>
      <c r="P13" s="13"/>
      <c r="Q13" s="14"/>
      <c r="R13" s="12"/>
      <c r="S13" s="13"/>
      <c r="T13" s="13"/>
      <c r="U13" s="14"/>
      <c r="V13" s="12"/>
      <c r="W13" s="13"/>
      <c r="X13" s="13"/>
      <c r="Y13" s="14"/>
      <c r="Z13" s="12"/>
      <c r="AA13" s="13"/>
      <c r="AB13" s="13"/>
      <c r="AC13" s="14"/>
      <c r="AD13" s="15"/>
      <c r="AE13" s="16"/>
      <c r="AF13" s="16"/>
      <c r="AG13" s="17"/>
      <c r="AH13" s="15"/>
      <c r="AI13" s="16"/>
      <c r="AJ13" s="16"/>
      <c r="AK13" s="17"/>
      <c r="AL13" s="15"/>
      <c r="AM13" s="16"/>
      <c r="AN13" s="16"/>
      <c r="AO13" s="17"/>
      <c r="AP13" s="15"/>
      <c r="AQ13" s="16"/>
      <c r="AR13" s="16"/>
      <c r="AS13" s="17"/>
      <c r="AT13" s="15"/>
      <c r="AU13" s="16"/>
      <c r="AV13" s="16"/>
      <c r="AW13" s="17"/>
      <c r="AX13" s="15"/>
      <c r="AY13" s="16"/>
      <c r="AZ13" s="16"/>
      <c r="BA13" s="17"/>
      <c r="BB13" s="12"/>
      <c r="BC13" s="13"/>
      <c r="BD13" s="13"/>
      <c r="BE13" s="14"/>
      <c r="BF13" s="69"/>
      <c r="BG13" s="13"/>
      <c r="BH13" s="13"/>
      <c r="BI13" s="14"/>
      <c r="BJ13" s="69"/>
      <c r="BK13" s="13"/>
      <c r="BL13" s="13"/>
      <c r="BM13" s="13"/>
      <c r="BN13" s="13"/>
      <c r="BO13" s="13"/>
      <c r="BP13" s="13"/>
      <c r="BQ13" s="14">
        <v>-3.0000000000000001E-3</v>
      </c>
      <c r="BR13" s="69"/>
      <c r="BS13" s="13"/>
      <c r="BT13" s="13"/>
      <c r="BU13" s="14"/>
      <c r="BV13" s="304"/>
      <c r="BW13" s="13"/>
      <c r="BX13" s="13"/>
      <c r="BY13" s="14"/>
      <c r="BZ13" s="266"/>
      <c r="CA13" s="266"/>
      <c r="CB13" s="266"/>
      <c r="CC13" s="267"/>
      <c r="CD13" s="281"/>
      <c r="CE13" s="282"/>
      <c r="CF13" s="282"/>
      <c r="CG13" s="283"/>
      <c r="CH13" s="284"/>
      <c r="CI13" s="285"/>
      <c r="CJ13" s="285"/>
      <c r="CK13" s="286"/>
      <c r="CL13" s="12"/>
      <c r="CM13" s="13"/>
      <c r="CN13" s="13"/>
      <c r="CO13" s="14"/>
      <c r="CP13" s="240">
        <f t="shared" si="2"/>
        <v>0</v>
      </c>
      <c r="CQ13" s="274">
        <f t="shared" si="0"/>
        <v>0</v>
      </c>
      <c r="CR13" s="274">
        <f t="shared" si="0"/>
        <v>0</v>
      </c>
      <c r="CS13" s="275">
        <f t="shared" si="0"/>
        <v>-3.0000000000000001E-3</v>
      </c>
      <c r="CT13" s="284"/>
      <c r="CU13" s="285"/>
      <c r="CV13" s="285"/>
      <c r="CW13" s="287"/>
      <c r="CX13" s="240">
        <f t="shared" si="3"/>
        <v>0</v>
      </c>
      <c r="CY13" s="118">
        <f t="shared" si="4"/>
        <v>0</v>
      </c>
      <c r="CZ13" s="118">
        <f t="shared" si="5"/>
        <v>0</v>
      </c>
      <c r="DA13" s="276">
        <f t="shared" si="6"/>
        <v>-3.0000000000000001E-3</v>
      </c>
    </row>
    <row r="14" spans="1:105" s="277" customFormat="1" ht="14.25" thickBot="1" x14ac:dyDescent="0.3">
      <c r="A14" s="309" t="s">
        <v>17</v>
      </c>
      <c r="B14" s="311">
        <v>529.77</v>
      </c>
      <c r="C14" s="252">
        <v>299.35000000000002</v>
      </c>
      <c r="D14" s="252">
        <v>1578.82</v>
      </c>
      <c r="E14" s="312">
        <v>1037.95</v>
      </c>
      <c r="F14" s="268">
        <v>2.87</v>
      </c>
      <c r="G14" s="207">
        <v>1.76</v>
      </c>
      <c r="H14" s="207">
        <v>10.71</v>
      </c>
      <c r="I14" s="291">
        <v>2.08</v>
      </c>
      <c r="J14" s="268">
        <v>17.97</v>
      </c>
      <c r="K14" s="207">
        <v>28.23</v>
      </c>
      <c r="L14" s="207">
        <v>46.16</v>
      </c>
      <c r="M14" s="208">
        <v>88.53</v>
      </c>
      <c r="N14" s="268">
        <v>737</v>
      </c>
      <c r="O14" s="207">
        <v>568</v>
      </c>
      <c r="P14" s="207">
        <v>2013</v>
      </c>
      <c r="Q14" s="208">
        <v>1935</v>
      </c>
      <c r="R14" s="268">
        <v>65.38</v>
      </c>
      <c r="S14" s="207">
        <v>66.12</v>
      </c>
      <c r="T14" s="207">
        <v>199.64</v>
      </c>
      <c r="U14" s="208">
        <v>173.15</v>
      </c>
      <c r="V14" s="268">
        <v>107.81</v>
      </c>
      <c r="W14" s="13">
        <v>186.32</v>
      </c>
      <c r="X14" s="207">
        <v>350.25</v>
      </c>
      <c r="Y14" s="208">
        <v>347.77</v>
      </c>
      <c r="Z14" s="268">
        <v>145.75</v>
      </c>
      <c r="AA14" s="207">
        <v>267.79000000000002</v>
      </c>
      <c r="AB14" s="207">
        <v>746.3</v>
      </c>
      <c r="AC14" s="208">
        <v>767.68</v>
      </c>
      <c r="AD14" s="19">
        <v>20.309999999999999</v>
      </c>
      <c r="AE14" s="20">
        <v>15.78</v>
      </c>
      <c r="AF14" s="20">
        <v>58.25</v>
      </c>
      <c r="AG14" s="21">
        <v>45.67</v>
      </c>
      <c r="AH14" s="19">
        <v>13.14</v>
      </c>
      <c r="AI14" s="20">
        <v>37.630000000000003</v>
      </c>
      <c r="AJ14" s="20">
        <v>53.95</v>
      </c>
      <c r="AK14" s="21">
        <v>89.31</v>
      </c>
      <c r="AL14" s="19">
        <v>90.09</v>
      </c>
      <c r="AM14" s="20">
        <v>65.319999999999993</v>
      </c>
      <c r="AN14" s="20">
        <v>222.39</v>
      </c>
      <c r="AO14" s="21">
        <v>200.41</v>
      </c>
      <c r="AP14" s="19">
        <v>1766.79</v>
      </c>
      <c r="AQ14" s="20">
        <v>1231.1300000000001</v>
      </c>
      <c r="AR14" s="20">
        <v>4961.96</v>
      </c>
      <c r="AS14" s="21">
        <v>3575.27</v>
      </c>
      <c r="AT14" s="19">
        <v>685</v>
      </c>
      <c r="AU14" s="20">
        <v>136</v>
      </c>
      <c r="AV14" s="20">
        <v>1431</v>
      </c>
      <c r="AW14" s="21">
        <v>633</v>
      </c>
      <c r="AX14" s="19">
        <v>58.278100000000002</v>
      </c>
      <c r="AY14" s="20">
        <v>19.4406</v>
      </c>
      <c r="AZ14" s="20">
        <v>103.6765</v>
      </c>
      <c r="BA14" s="21">
        <v>39.062100000000001</v>
      </c>
      <c r="BB14" s="268">
        <v>297.733</v>
      </c>
      <c r="BC14" s="292">
        <v>221.30680000000001</v>
      </c>
      <c r="BD14" s="207">
        <v>912.18140000000005</v>
      </c>
      <c r="BE14" s="208">
        <v>517.8143</v>
      </c>
      <c r="BF14" s="206">
        <v>399.05</v>
      </c>
      <c r="BG14" s="207">
        <v>399.58</v>
      </c>
      <c r="BH14" s="207">
        <v>1228.58</v>
      </c>
      <c r="BI14" s="208">
        <v>961.29</v>
      </c>
      <c r="BJ14" s="206">
        <v>97.61</v>
      </c>
      <c r="BK14" s="207">
        <v>91.19</v>
      </c>
      <c r="BL14" s="207">
        <v>282.39</v>
      </c>
      <c r="BM14" s="207">
        <v>240.94</v>
      </c>
      <c r="BN14" s="207">
        <v>55.27</v>
      </c>
      <c r="BO14" s="207">
        <v>37.619999999999997</v>
      </c>
      <c r="BP14" s="207">
        <v>145.03</v>
      </c>
      <c r="BQ14" s="208">
        <v>106.88</v>
      </c>
      <c r="BR14" s="206">
        <v>17.7</v>
      </c>
      <c r="BS14" s="207">
        <v>47.52</v>
      </c>
      <c r="BT14" s="207">
        <v>74.52</v>
      </c>
      <c r="BU14" s="208">
        <v>124.92</v>
      </c>
      <c r="BV14" s="305"/>
      <c r="BW14" s="207"/>
      <c r="BX14" s="207"/>
      <c r="BY14" s="208"/>
      <c r="BZ14" s="197">
        <v>1020</v>
      </c>
      <c r="CA14" s="259">
        <v>455</v>
      </c>
      <c r="CB14" s="259">
        <v>2874</v>
      </c>
      <c r="CC14" s="260">
        <v>1411</v>
      </c>
      <c r="CD14" s="293">
        <v>71.819999999999993</v>
      </c>
      <c r="CE14" s="292">
        <v>80.790000000000006</v>
      </c>
      <c r="CF14" s="292">
        <v>220.88</v>
      </c>
      <c r="CG14" s="294">
        <v>236.56</v>
      </c>
      <c r="CH14" s="295">
        <v>13.8078</v>
      </c>
      <c r="CI14" s="296">
        <v>11.3766</v>
      </c>
      <c r="CJ14" s="296">
        <v>45.555199999999999</v>
      </c>
      <c r="CK14" s="297">
        <v>33.654400000000003</v>
      </c>
      <c r="CL14" s="268">
        <v>39.01</v>
      </c>
      <c r="CM14" s="207">
        <v>38.18</v>
      </c>
      <c r="CN14" s="207">
        <v>86.84</v>
      </c>
      <c r="CO14" s="208">
        <v>63.16</v>
      </c>
      <c r="CP14" s="298">
        <f t="shared" si="2"/>
        <v>6252.1589000000004</v>
      </c>
      <c r="CQ14" s="299">
        <f t="shared" si="0"/>
        <v>4305.4340000000002</v>
      </c>
      <c r="CR14" s="299">
        <f t="shared" si="0"/>
        <v>17646.0831</v>
      </c>
      <c r="CS14" s="300">
        <f t="shared" si="0"/>
        <v>12631.100799999997</v>
      </c>
      <c r="CT14" s="295">
        <v>17559.689999999999</v>
      </c>
      <c r="CU14" s="296">
        <v>15828.48</v>
      </c>
      <c r="CV14" s="296">
        <v>60662.98</v>
      </c>
      <c r="CW14" s="301">
        <v>62993.31</v>
      </c>
      <c r="CX14" s="298">
        <f t="shared" si="3"/>
        <v>23811.848899999997</v>
      </c>
      <c r="CY14" s="302">
        <f t="shared" si="4"/>
        <v>20133.914000000001</v>
      </c>
      <c r="CZ14" s="302">
        <f t="shared" si="5"/>
        <v>78309.063099999999</v>
      </c>
      <c r="DA14" s="303">
        <f t="shared" si="6"/>
        <v>75624.410799999998</v>
      </c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15"/>
  <sheetViews>
    <sheetView workbookViewId="0">
      <pane xSplit="1" topLeftCell="B1" activePane="topRight" state="frozen"/>
      <selection pane="topRight" sqref="A1:XFD1048576"/>
    </sheetView>
  </sheetViews>
  <sheetFormatPr defaultRowHeight="14.25" x14ac:dyDescent="0.3"/>
  <cols>
    <col min="1" max="1" width="22.28515625" style="23" bestFit="1" customWidth="1"/>
    <col min="2" max="3" width="11.7109375" style="23" bestFit="1" customWidth="1"/>
    <col min="4" max="5" width="12.85546875" style="23" bestFit="1" customWidth="1"/>
    <col min="6" max="7" width="11.7109375" style="23" bestFit="1" customWidth="1"/>
    <col min="8" max="9" width="12.85546875" style="23" bestFit="1" customWidth="1"/>
    <col min="10" max="11" width="11.7109375" style="23" bestFit="1" customWidth="1"/>
    <col min="12" max="13" width="12.85546875" style="23" bestFit="1" customWidth="1"/>
    <col min="14" max="15" width="11.7109375" style="23" bestFit="1" customWidth="1"/>
    <col min="16" max="17" width="12.85546875" style="23" bestFit="1" customWidth="1"/>
    <col min="18" max="19" width="11.7109375" style="23" bestFit="1" customWidth="1"/>
    <col min="20" max="21" width="12.85546875" style="23" bestFit="1" customWidth="1"/>
    <col min="22" max="23" width="11.7109375" style="23" bestFit="1" customWidth="1"/>
    <col min="24" max="25" width="12.85546875" style="23" bestFit="1" customWidth="1"/>
    <col min="26" max="27" width="11.7109375" style="23" bestFit="1" customWidth="1"/>
    <col min="28" max="29" width="12.85546875" style="23" bestFit="1" customWidth="1"/>
    <col min="30" max="31" width="11.7109375" style="75" bestFit="1" customWidth="1"/>
    <col min="32" max="33" width="12.85546875" style="75" bestFit="1" customWidth="1"/>
    <col min="34" max="35" width="11.7109375" style="23" bestFit="1" customWidth="1"/>
    <col min="36" max="37" width="12.85546875" style="23" bestFit="1" customWidth="1"/>
    <col min="38" max="39" width="11.7109375" style="23" bestFit="1" customWidth="1"/>
    <col min="40" max="41" width="12.85546875" style="23" bestFit="1" customWidth="1"/>
    <col min="42" max="43" width="11.7109375" style="23" bestFit="1" customWidth="1"/>
    <col min="44" max="45" width="12.85546875" style="23" bestFit="1" customWidth="1"/>
    <col min="46" max="47" width="11.7109375" style="23" bestFit="1" customWidth="1"/>
    <col min="48" max="49" width="12.85546875" style="23" bestFit="1" customWidth="1"/>
    <col min="50" max="51" width="11.7109375" style="75" bestFit="1" customWidth="1"/>
    <col min="52" max="53" width="12.85546875" style="75" bestFit="1" customWidth="1"/>
    <col min="54" max="55" width="11.7109375" style="23" bestFit="1" customWidth="1"/>
    <col min="56" max="57" width="12.85546875" style="23" bestFit="1" customWidth="1"/>
    <col min="58" max="59" width="11.7109375" style="23" bestFit="1" customWidth="1"/>
    <col min="60" max="61" width="12.85546875" style="23" bestFit="1" customWidth="1"/>
    <col min="62" max="63" width="11.7109375" style="23" bestFit="1" customWidth="1"/>
    <col min="64" max="65" width="12.85546875" style="23" bestFit="1" customWidth="1"/>
    <col min="66" max="67" width="11.7109375" style="23" bestFit="1" customWidth="1"/>
    <col min="68" max="69" width="12.85546875" style="23" bestFit="1" customWidth="1"/>
    <col min="70" max="71" width="11.7109375" style="23" bestFit="1" customWidth="1"/>
    <col min="72" max="73" width="12.85546875" style="23" bestFit="1" customWidth="1"/>
    <col min="74" max="75" width="11.7109375" style="23" bestFit="1" customWidth="1"/>
    <col min="76" max="77" width="12.85546875" style="23" bestFit="1" customWidth="1"/>
    <col min="78" max="79" width="11.7109375" style="23" bestFit="1" customWidth="1"/>
    <col min="80" max="81" width="12.85546875" style="23" bestFit="1" customWidth="1"/>
    <col min="82" max="83" width="11.7109375" style="23" bestFit="1" customWidth="1"/>
    <col min="84" max="85" width="12.85546875" style="23" bestFit="1" customWidth="1"/>
    <col min="86" max="87" width="11.7109375" style="23" bestFit="1" customWidth="1"/>
    <col min="88" max="89" width="12.85546875" style="23" bestFit="1" customWidth="1"/>
    <col min="90" max="91" width="11.7109375" style="23" bestFit="1" customWidth="1"/>
    <col min="92" max="93" width="12.85546875" style="23" bestFit="1" customWidth="1"/>
    <col min="94" max="95" width="11.7109375" style="23" bestFit="1" customWidth="1"/>
    <col min="96" max="97" width="12.85546875" style="23" bestFit="1" customWidth="1"/>
    <col min="98" max="99" width="11.7109375" style="23" bestFit="1" customWidth="1"/>
    <col min="100" max="101" width="12.85546875" style="23" bestFit="1" customWidth="1"/>
    <col min="102" max="103" width="11.7109375" style="23" bestFit="1" customWidth="1"/>
    <col min="104" max="105" width="12.85546875" style="23" bestFit="1" customWidth="1"/>
    <col min="106" max="16384" width="9.140625" style="23"/>
  </cols>
  <sheetData>
    <row r="1" spans="1:105" x14ac:dyDescent="0.3">
      <c r="A1" s="1423" t="s">
        <v>18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  <c r="P1" s="1423"/>
      <c r="Q1" s="1423"/>
      <c r="R1" s="1423"/>
      <c r="S1" s="1423"/>
      <c r="T1" s="1423"/>
      <c r="U1" s="1423"/>
      <c r="V1" s="1423"/>
      <c r="W1" s="1423"/>
      <c r="X1" s="1423"/>
      <c r="Y1" s="1423"/>
      <c r="Z1" s="1423"/>
      <c r="AA1" s="1423"/>
      <c r="AB1" s="1423"/>
      <c r="AC1" s="1423"/>
      <c r="AD1" s="1423"/>
      <c r="AE1" s="1423"/>
      <c r="AF1" s="1423"/>
      <c r="AG1" s="1423"/>
      <c r="AH1" s="1423"/>
      <c r="AI1" s="1423"/>
      <c r="AJ1" s="1423"/>
      <c r="AK1" s="1423"/>
      <c r="AL1" s="1423"/>
      <c r="AM1" s="1423"/>
      <c r="AN1" s="1423"/>
      <c r="AO1" s="1423"/>
      <c r="AP1" s="1423"/>
      <c r="AQ1" s="1423"/>
      <c r="AR1" s="1423"/>
      <c r="AS1" s="1423"/>
      <c r="AT1" s="1423"/>
      <c r="AU1" s="1423"/>
      <c r="AV1" s="1423"/>
      <c r="AW1" s="1423"/>
      <c r="AX1" s="1423"/>
      <c r="AY1" s="1423"/>
      <c r="AZ1" s="1423"/>
      <c r="BA1" s="1423"/>
      <c r="BB1" s="1423"/>
      <c r="BC1" s="1423"/>
      <c r="BD1" s="1423"/>
      <c r="BE1" s="1423"/>
      <c r="BF1" s="1423"/>
      <c r="BG1" s="1423"/>
      <c r="BH1" s="1423"/>
      <c r="BI1" s="1423"/>
      <c r="BJ1" s="1423"/>
      <c r="BK1" s="1423"/>
      <c r="BL1" s="1423"/>
      <c r="BM1" s="1423"/>
      <c r="BN1" s="1423"/>
      <c r="BO1" s="1423"/>
      <c r="BP1" s="1423"/>
      <c r="BQ1" s="1423"/>
      <c r="BR1" s="1423"/>
      <c r="BS1" s="1423"/>
      <c r="BT1" s="1423"/>
      <c r="BU1" s="1423"/>
      <c r="BV1" s="1423"/>
      <c r="BW1" s="1423"/>
      <c r="BX1" s="1423"/>
      <c r="BY1" s="1423"/>
      <c r="BZ1" s="1423"/>
      <c r="CA1" s="1423"/>
      <c r="CB1" s="1423"/>
      <c r="CC1" s="1423"/>
      <c r="CD1" s="1423"/>
      <c r="CE1" s="1423"/>
      <c r="CF1" s="1423"/>
      <c r="CG1" s="1423"/>
      <c r="CH1" s="1423"/>
      <c r="CI1" s="1423"/>
      <c r="CJ1" s="1423"/>
      <c r="CK1" s="1423"/>
      <c r="CL1" s="1423"/>
      <c r="CM1" s="1423"/>
      <c r="CN1" s="1423"/>
      <c r="CO1" s="1423"/>
      <c r="CP1" s="1423"/>
      <c r="CQ1" s="1423"/>
      <c r="CR1" s="1423"/>
      <c r="CS1" s="1423"/>
      <c r="CT1" s="1423"/>
      <c r="CU1" s="1423"/>
      <c r="CV1" s="1423"/>
      <c r="CW1" s="1423"/>
      <c r="CX1" s="1423"/>
      <c r="CY1" s="1423"/>
    </row>
    <row r="2" spans="1:105" ht="15" thickBot="1" x14ac:dyDescent="0.35">
      <c r="A2" s="1409"/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09"/>
      <c r="AB2" s="1409"/>
      <c r="AC2" s="1409"/>
      <c r="AD2" s="1409"/>
      <c r="AE2" s="1409"/>
      <c r="AF2" s="1409"/>
      <c r="AG2" s="1409"/>
      <c r="AH2" s="1409"/>
      <c r="AI2" s="1409"/>
      <c r="AJ2" s="1409"/>
      <c r="AK2" s="1409"/>
      <c r="AL2" s="1409"/>
      <c r="AM2" s="1409"/>
      <c r="AN2" s="1409"/>
      <c r="AO2" s="1409"/>
      <c r="AP2" s="1409"/>
      <c r="AQ2" s="1409"/>
      <c r="AR2" s="1409"/>
      <c r="AS2" s="1409"/>
      <c r="AT2" s="1409"/>
      <c r="AU2" s="1409"/>
      <c r="AV2" s="1409"/>
      <c r="AW2" s="1409"/>
      <c r="AX2" s="1409"/>
      <c r="AY2" s="1409"/>
      <c r="AZ2" s="1409"/>
      <c r="BA2" s="1409"/>
      <c r="BB2" s="1409"/>
      <c r="BC2" s="1409"/>
      <c r="BD2" s="1409"/>
      <c r="BE2" s="1409"/>
      <c r="BF2" s="1409"/>
      <c r="BG2" s="1409"/>
      <c r="BH2" s="1409"/>
      <c r="BI2" s="1409"/>
      <c r="BJ2" s="1409"/>
      <c r="BK2" s="1409"/>
      <c r="BL2" s="1409"/>
      <c r="BM2" s="1409"/>
      <c r="BN2" s="1409"/>
      <c r="BO2" s="1409"/>
      <c r="BP2" s="1409"/>
      <c r="BQ2" s="1409"/>
      <c r="BR2" s="1409"/>
      <c r="BS2" s="1409"/>
      <c r="BT2" s="1409"/>
      <c r="BU2" s="1409"/>
      <c r="BV2" s="1409"/>
      <c r="BW2" s="1409"/>
      <c r="BX2" s="1409"/>
      <c r="BY2" s="1409"/>
      <c r="BZ2" s="1409"/>
      <c r="CA2" s="1409"/>
      <c r="CB2" s="1409"/>
      <c r="CC2" s="1409"/>
      <c r="CD2" s="1409"/>
      <c r="CE2" s="1409"/>
      <c r="CF2" s="1409"/>
      <c r="CG2" s="1409"/>
      <c r="CH2" s="1409"/>
      <c r="CI2" s="1409"/>
      <c r="CJ2" s="1409"/>
      <c r="CK2" s="1409"/>
      <c r="CL2" s="1409"/>
      <c r="CM2" s="1409"/>
      <c r="CN2" s="1409"/>
      <c r="CO2" s="1409"/>
      <c r="CP2" s="1409"/>
      <c r="CQ2" s="1409"/>
      <c r="CR2" s="1409"/>
      <c r="CS2" s="1409"/>
      <c r="CT2" s="1409"/>
      <c r="CU2" s="1409"/>
      <c r="CV2" s="1409"/>
      <c r="CW2" s="1409"/>
      <c r="CX2" s="1409"/>
      <c r="CY2" s="1409"/>
    </row>
    <row r="3" spans="1:105" x14ac:dyDescent="0.3">
      <c r="A3" s="1472" t="s">
        <v>1</v>
      </c>
      <c r="B3" s="1474" t="s">
        <v>258</v>
      </c>
      <c r="C3" s="1475"/>
      <c r="D3" s="1475"/>
      <c r="E3" s="1476"/>
      <c r="F3" s="1477" t="s">
        <v>259</v>
      </c>
      <c r="G3" s="1478"/>
      <c r="H3" s="1478"/>
      <c r="I3" s="1479"/>
      <c r="J3" s="1477" t="s">
        <v>260</v>
      </c>
      <c r="K3" s="1478"/>
      <c r="L3" s="1478"/>
      <c r="M3" s="1478"/>
      <c r="N3" s="1439" t="s">
        <v>261</v>
      </c>
      <c r="O3" s="1425"/>
      <c r="P3" s="1425"/>
      <c r="Q3" s="1480"/>
      <c r="R3" s="1439" t="s">
        <v>262</v>
      </c>
      <c r="S3" s="1425"/>
      <c r="T3" s="1425"/>
      <c r="U3" s="1426"/>
      <c r="V3" s="1424" t="s">
        <v>263</v>
      </c>
      <c r="W3" s="1425"/>
      <c r="X3" s="1425"/>
      <c r="Y3" s="1426"/>
      <c r="Z3" s="1424" t="s">
        <v>264</v>
      </c>
      <c r="AA3" s="1425"/>
      <c r="AB3" s="1425"/>
      <c r="AC3" s="1426"/>
      <c r="AD3" s="1481" t="s">
        <v>265</v>
      </c>
      <c r="AE3" s="1482"/>
      <c r="AF3" s="1482"/>
      <c r="AG3" s="1483"/>
      <c r="AH3" s="1424" t="s">
        <v>266</v>
      </c>
      <c r="AI3" s="1425"/>
      <c r="AJ3" s="1425"/>
      <c r="AK3" s="1426"/>
      <c r="AL3" s="1424" t="s">
        <v>267</v>
      </c>
      <c r="AM3" s="1425"/>
      <c r="AN3" s="1425"/>
      <c r="AO3" s="1426"/>
      <c r="AP3" s="1424" t="s">
        <v>268</v>
      </c>
      <c r="AQ3" s="1425"/>
      <c r="AR3" s="1425"/>
      <c r="AS3" s="1426"/>
      <c r="AT3" s="1424" t="s">
        <v>269</v>
      </c>
      <c r="AU3" s="1425"/>
      <c r="AV3" s="1425"/>
      <c r="AW3" s="1426"/>
      <c r="AX3" s="1481" t="s">
        <v>270</v>
      </c>
      <c r="AY3" s="1482"/>
      <c r="AZ3" s="1482"/>
      <c r="BA3" s="1483"/>
      <c r="BB3" s="1424" t="s">
        <v>271</v>
      </c>
      <c r="BC3" s="1425"/>
      <c r="BD3" s="1425"/>
      <c r="BE3" s="1426"/>
      <c r="BF3" s="1443" t="s">
        <v>272</v>
      </c>
      <c r="BG3" s="1444"/>
      <c r="BH3" s="1444"/>
      <c r="BI3" s="1445"/>
      <c r="BJ3" s="1424" t="s">
        <v>273</v>
      </c>
      <c r="BK3" s="1425"/>
      <c r="BL3" s="1425"/>
      <c r="BM3" s="1426"/>
      <c r="BN3" s="1424" t="s">
        <v>274</v>
      </c>
      <c r="BO3" s="1425"/>
      <c r="BP3" s="1425"/>
      <c r="BQ3" s="1426"/>
      <c r="BR3" s="1424" t="s">
        <v>275</v>
      </c>
      <c r="BS3" s="1425"/>
      <c r="BT3" s="1425"/>
      <c r="BU3" s="1426"/>
      <c r="BV3" s="1443" t="s">
        <v>276</v>
      </c>
      <c r="BW3" s="1444"/>
      <c r="BX3" s="1444"/>
      <c r="BY3" s="1445"/>
      <c r="BZ3" s="1424" t="s">
        <v>277</v>
      </c>
      <c r="CA3" s="1425"/>
      <c r="CB3" s="1425"/>
      <c r="CC3" s="1426"/>
      <c r="CD3" s="1424" t="s">
        <v>278</v>
      </c>
      <c r="CE3" s="1425"/>
      <c r="CF3" s="1425"/>
      <c r="CG3" s="1426"/>
      <c r="CH3" s="1424" t="s">
        <v>279</v>
      </c>
      <c r="CI3" s="1425"/>
      <c r="CJ3" s="1425"/>
      <c r="CK3" s="1426"/>
      <c r="CL3" s="1424" t="s">
        <v>280</v>
      </c>
      <c r="CM3" s="1425"/>
      <c r="CN3" s="1425"/>
      <c r="CO3" s="1426"/>
      <c r="CP3" s="1424" t="s">
        <v>2</v>
      </c>
      <c r="CQ3" s="1425"/>
      <c r="CR3" s="1425"/>
      <c r="CS3" s="1426"/>
      <c r="CT3" s="1443" t="s">
        <v>281</v>
      </c>
      <c r="CU3" s="1444"/>
      <c r="CV3" s="1444"/>
      <c r="CW3" s="1445"/>
      <c r="CX3" s="1443" t="s">
        <v>3</v>
      </c>
      <c r="CY3" s="1444"/>
      <c r="CZ3" s="1444"/>
      <c r="DA3" s="1445"/>
    </row>
    <row r="4" spans="1:105" x14ac:dyDescent="0.3">
      <c r="A4" s="1473"/>
      <c r="B4" s="24" t="s">
        <v>4</v>
      </c>
      <c r="C4" s="24" t="s">
        <v>5</v>
      </c>
      <c r="D4" s="24" t="s">
        <v>6</v>
      </c>
      <c r="E4" s="24" t="s">
        <v>7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4</v>
      </c>
      <c r="K4" s="24" t="s">
        <v>5</v>
      </c>
      <c r="L4" s="25" t="s">
        <v>6</v>
      </c>
      <c r="M4" s="24" t="s">
        <v>7</v>
      </c>
      <c r="N4" s="26" t="s">
        <v>4</v>
      </c>
      <c r="O4" s="27" t="s">
        <v>5</v>
      </c>
      <c r="P4" s="27" t="s">
        <v>6</v>
      </c>
      <c r="Q4" s="28" t="s">
        <v>7</v>
      </c>
      <c r="R4" s="26" t="s">
        <v>4</v>
      </c>
      <c r="S4" s="27" t="s">
        <v>5</v>
      </c>
      <c r="T4" s="27" t="s">
        <v>6</v>
      </c>
      <c r="U4" s="29" t="s">
        <v>7</v>
      </c>
      <c r="V4" s="30" t="s">
        <v>4</v>
      </c>
      <c r="W4" s="27" t="s">
        <v>5</v>
      </c>
      <c r="X4" s="27" t="s">
        <v>6</v>
      </c>
      <c r="Y4" s="29" t="s">
        <v>7</v>
      </c>
      <c r="Z4" s="30" t="s">
        <v>4</v>
      </c>
      <c r="AA4" s="27" t="s">
        <v>5</v>
      </c>
      <c r="AB4" s="27" t="s">
        <v>6</v>
      </c>
      <c r="AC4" s="29" t="s">
        <v>7</v>
      </c>
      <c r="AD4" s="30" t="s">
        <v>4</v>
      </c>
      <c r="AE4" s="27" t="s">
        <v>5</v>
      </c>
      <c r="AF4" s="27" t="s">
        <v>6</v>
      </c>
      <c r="AG4" s="29" t="s">
        <v>7</v>
      </c>
      <c r="AH4" s="30" t="s">
        <v>4</v>
      </c>
      <c r="AI4" s="27" t="s">
        <v>5</v>
      </c>
      <c r="AJ4" s="27" t="s">
        <v>6</v>
      </c>
      <c r="AK4" s="29" t="s">
        <v>7</v>
      </c>
      <c r="AL4" s="30" t="s">
        <v>4</v>
      </c>
      <c r="AM4" s="27" t="s">
        <v>5</v>
      </c>
      <c r="AN4" s="27" t="s">
        <v>6</v>
      </c>
      <c r="AO4" s="29" t="s">
        <v>7</v>
      </c>
      <c r="AP4" s="30" t="s">
        <v>4</v>
      </c>
      <c r="AQ4" s="27" t="s">
        <v>5</v>
      </c>
      <c r="AR4" s="27" t="s">
        <v>6</v>
      </c>
      <c r="AS4" s="29" t="s">
        <v>7</v>
      </c>
      <c r="AT4" s="30" t="s">
        <v>4</v>
      </c>
      <c r="AU4" s="27" t="s">
        <v>5</v>
      </c>
      <c r="AV4" s="27" t="s">
        <v>6</v>
      </c>
      <c r="AW4" s="29" t="s">
        <v>7</v>
      </c>
      <c r="AX4" s="30" t="s">
        <v>4</v>
      </c>
      <c r="AY4" s="27" t="s">
        <v>5</v>
      </c>
      <c r="AZ4" s="27" t="s">
        <v>6</v>
      </c>
      <c r="BA4" s="29" t="s">
        <v>7</v>
      </c>
      <c r="BB4" s="30" t="s">
        <v>4</v>
      </c>
      <c r="BC4" s="27" t="s">
        <v>5</v>
      </c>
      <c r="BD4" s="27" t="s">
        <v>6</v>
      </c>
      <c r="BE4" s="29" t="s">
        <v>7</v>
      </c>
      <c r="BF4" s="30" t="s">
        <v>4</v>
      </c>
      <c r="BG4" s="27" t="s">
        <v>5</v>
      </c>
      <c r="BH4" s="27" t="s">
        <v>6</v>
      </c>
      <c r="BI4" s="29" t="s">
        <v>7</v>
      </c>
      <c r="BJ4" s="30" t="s">
        <v>4</v>
      </c>
      <c r="BK4" s="27" t="s">
        <v>5</v>
      </c>
      <c r="BL4" s="27" t="s">
        <v>6</v>
      </c>
      <c r="BM4" s="29" t="s">
        <v>7</v>
      </c>
      <c r="BN4" s="30" t="s">
        <v>4</v>
      </c>
      <c r="BO4" s="27" t="s">
        <v>5</v>
      </c>
      <c r="BP4" s="27" t="s">
        <v>6</v>
      </c>
      <c r="BQ4" s="29" t="s">
        <v>7</v>
      </c>
      <c r="BR4" s="30" t="s">
        <v>4</v>
      </c>
      <c r="BS4" s="27" t="s">
        <v>5</v>
      </c>
      <c r="BT4" s="27" t="s">
        <v>6</v>
      </c>
      <c r="BU4" s="29" t="s">
        <v>7</v>
      </c>
      <c r="BV4" s="30" t="s">
        <v>4</v>
      </c>
      <c r="BW4" s="27" t="s">
        <v>5</v>
      </c>
      <c r="BX4" s="27" t="s">
        <v>6</v>
      </c>
      <c r="BY4" s="29" t="s">
        <v>7</v>
      </c>
      <c r="BZ4" s="30" t="s">
        <v>4</v>
      </c>
      <c r="CA4" s="27" t="s">
        <v>5</v>
      </c>
      <c r="CB4" s="27" t="s">
        <v>6</v>
      </c>
      <c r="CC4" s="29" t="s">
        <v>7</v>
      </c>
      <c r="CD4" s="30" t="s">
        <v>4</v>
      </c>
      <c r="CE4" s="27" t="s">
        <v>5</v>
      </c>
      <c r="CF4" s="27" t="s">
        <v>6</v>
      </c>
      <c r="CG4" s="29" t="s">
        <v>7</v>
      </c>
      <c r="CH4" s="30" t="s">
        <v>4</v>
      </c>
      <c r="CI4" s="27" t="s">
        <v>5</v>
      </c>
      <c r="CJ4" s="27" t="s">
        <v>6</v>
      </c>
      <c r="CK4" s="29" t="s">
        <v>7</v>
      </c>
      <c r="CL4" s="30" t="s">
        <v>4</v>
      </c>
      <c r="CM4" s="27" t="s">
        <v>5</v>
      </c>
      <c r="CN4" s="27" t="s">
        <v>6</v>
      </c>
      <c r="CO4" s="29" t="s">
        <v>7</v>
      </c>
      <c r="CP4" s="30" t="s">
        <v>4</v>
      </c>
      <c r="CQ4" s="27" t="s">
        <v>5</v>
      </c>
      <c r="CR4" s="27" t="s">
        <v>6</v>
      </c>
      <c r="CS4" s="29" t="s">
        <v>7</v>
      </c>
      <c r="CT4" s="30" t="s">
        <v>4</v>
      </c>
      <c r="CU4" s="27" t="s">
        <v>5</v>
      </c>
      <c r="CV4" s="27" t="s">
        <v>6</v>
      </c>
      <c r="CW4" s="29" t="s">
        <v>7</v>
      </c>
      <c r="CX4" s="30" t="s">
        <v>4</v>
      </c>
      <c r="CY4" s="27" t="s">
        <v>5</v>
      </c>
      <c r="CZ4" s="27" t="s">
        <v>6</v>
      </c>
      <c r="DA4" s="29" t="s">
        <v>7</v>
      </c>
    </row>
    <row r="5" spans="1:105" x14ac:dyDescent="0.3">
      <c r="A5" s="31" t="s">
        <v>8</v>
      </c>
      <c r="B5" s="32">
        <v>4611</v>
      </c>
      <c r="C5" s="32">
        <v>3746</v>
      </c>
      <c r="D5" s="32">
        <v>11950</v>
      </c>
      <c r="E5" s="32">
        <v>13118</v>
      </c>
      <c r="F5" s="33"/>
      <c r="G5" s="33"/>
      <c r="H5" s="33"/>
      <c r="I5" s="33"/>
      <c r="J5" s="33">
        <v>84</v>
      </c>
      <c r="K5" s="33">
        <v>1514</v>
      </c>
      <c r="L5" s="33">
        <v>2062</v>
      </c>
      <c r="M5" s="34">
        <v>3558</v>
      </c>
      <c r="N5" s="35">
        <v>821</v>
      </c>
      <c r="O5" s="33">
        <v>832</v>
      </c>
      <c r="P5" s="33">
        <v>4174</v>
      </c>
      <c r="Q5" s="34">
        <v>4797</v>
      </c>
      <c r="R5" s="4"/>
      <c r="S5" s="5"/>
      <c r="T5" s="5"/>
      <c r="U5" s="6"/>
      <c r="V5" s="36"/>
      <c r="W5" s="5"/>
      <c r="X5" s="5"/>
      <c r="Y5" s="6"/>
      <c r="Z5" s="36"/>
      <c r="AA5" s="5"/>
      <c r="AB5" s="5"/>
      <c r="AC5" s="6"/>
      <c r="AD5" s="37">
        <v>-2543</v>
      </c>
      <c r="AE5" s="33">
        <v>21</v>
      </c>
      <c r="AF5" s="33">
        <v>-2113</v>
      </c>
      <c r="AG5" s="38">
        <v>-615</v>
      </c>
      <c r="AH5" s="36"/>
      <c r="AI5" s="5"/>
      <c r="AJ5" s="5"/>
      <c r="AK5" s="6"/>
      <c r="AL5" s="37">
        <v>-239</v>
      </c>
      <c r="AM5" s="33">
        <v>1079</v>
      </c>
      <c r="AN5" s="33">
        <v>1149</v>
      </c>
      <c r="AO5" s="38">
        <v>1170</v>
      </c>
      <c r="AP5" s="37">
        <v>1182</v>
      </c>
      <c r="AQ5" s="39">
        <v>1230</v>
      </c>
      <c r="AR5" s="33">
        <v>2353</v>
      </c>
      <c r="AS5" s="38">
        <v>1563</v>
      </c>
      <c r="AT5" s="36">
        <v>233787</v>
      </c>
      <c r="AU5" s="5">
        <v>1516</v>
      </c>
      <c r="AV5" s="5">
        <v>309678</v>
      </c>
      <c r="AW5" s="6">
        <v>9946</v>
      </c>
      <c r="AX5" s="37"/>
      <c r="AY5" s="33"/>
      <c r="AZ5" s="33"/>
      <c r="BA5" s="38"/>
      <c r="BB5" s="36">
        <v>0</v>
      </c>
      <c r="BC5" s="5">
        <v>0</v>
      </c>
      <c r="BD5" s="5">
        <v>0</v>
      </c>
      <c r="BE5" s="6">
        <v>0</v>
      </c>
      <c r="BF5" s="36">
        <v>0</v>
      </c>
      <c r="BG5" s="5"/>
      <c r="BH5" s="5">
        <v>35</v>
      </c>
      <c r="BI5" s="6">
        <v>2431</v>
      </c>
      <c r="BJ5" s="37">
        <v>880766</v>
      </c>
      <c r="BK5" s="33">
        <v>3244</v>
      </c>
      <c r="BL5" s="33">
        <v>1300686</v>
      </c>
      <c r="BM5" s="38">
        <v>5985</v>
      </c>
      <c r="BN5" s="37">
        <v>28</v>
      </c>
      <c r="BO5" s="33">
        <v>571</v>
      </c>
      <c r="BP5" s="33">
        <v>459</v>
      </c>
      <c r="BQ5" s="38">
        <v>3635</v>
      </c>
      <c r="BR5" s="37"/>
      <c r="BS5" s="33"/>
      <c r="BT5" s="33">
        <v>-1</v>
      </c>
      <c r="BU5" s="38">
        <v>148</v>
      </c>
      <c r="BV5" s="36"/>
      <c r="BW5" s="5"/>
      <c r="BX5" s="5"/>
      <c r="BY5" s="6"/>
      <c r="BZ5" s="40">
        <v>6928</v>
      </c>
      <c r="CA5" s="41">
        <v>13557</v>
      </c>
      <c r="CB5" s="41">
        <v>24122</v>
      </c>
      <c r="CC5" s="42">
        <v>83182</v>
      </c>
      <c r="CD5" s="37"/>
      <c r="CE5" s="33"/>
      <c r="CF5" s="33"/>
      <c r="CG5" s="38"/>
      <c r="CH5" s="37">
        <v>10</v>
      </c>
      <c r="CI5" s="33">
        <v>50</v>
      </c>
      <c r="CJ5" s="33">
        <v>52</v>
      </c>
      <c r="CK5" s="38">
        <v>70</v>
      </c>
      <c r="CL5" s="37">
        <v>950</v>
      </c>
      <c r="CM5" s="33">
        <v>580</v>
      </c>
      <c r="CN5" s="33">
        <v>3712</v>
      </c>
      <c r="CO5" s="38">
        <v>3557</v>
      </c>
      <c r="CP5" s="37">
        <f>SUM(B5+F5+J5+N5+R5+V5+Z5+AD5+AH5+AL5+AP5+AT5+AX5+BB5+BF5+BJ5+BN5+BR5+BV5+BZ5+CD5+CH5+CL5)</f>
        <v>1126385</v>
      </c>
      <c r="CQ5" s="37">
        <f t="shared" ref="CQ5:CS14" si="0">SUM(C5+G5+K5+O5+S5+W5+AA5+AE5+AI5+AM5+AQ5+AU5+AY5+BC5+BG5+BK5+BO5+BS5+BW5+CA5+CE5+CI5+CM5)</f>
        <v>27940</v>
      </c>
      <c r="CR5" s="37">
        <f t="shared" si="0"/>
        <v>1658318</v>
      </c>
      <c r="CS5" s="37">
        <f t="shared" si="0"/>
        <v>132545</v>
      </c>
      <c r="CT5" s="37">
        <v>1186328</v>
      </c>
      <c r="CU5" s="33">
        <v>234119</v>
      </c>
      <c r="CV5" s="33">
        <v>1690504</v>
      </c>
      <c r="CW5" s="38">
        <v>981789</v>
      </c>
      <c r="CX5" s="37">
        <f>CP5+CT5</f>
        <v>2312713</v>
      </c>
      <c r="CY5" s="37">
        <f t="shared" ref="CY5:DA14" si="1">CQ5+CU5</f>
        <v>262059</v>
      </c>
      <c r="CZ5" s="37">
        <f t="shared" si="1"/>
        <v>3348822</v>
      </c>
      <c r="DA5" s="37">
        <f t="shared" si="1"/>
        <v>1114334</v>
      </c>
    </row>
    <row r="6" spans="1:105" x14ac:dyDescent="0.3">
      <c r="A6" s="31" t="s">
        <v>9</v>
      </c>
      <c r="B6" s="32">
        <v>278522</v>
      </c>
      <c r="C6" s="32">
        <v>1547</v>
      </c>
      <c r="D6" s="32">
        <v>802372</v>
      </c>
      <c r="E6" s="32">
        <v>1890</v>
      </c>
      <c r="F6" s="43"/>
      <c r="G6" s="43">
        <v>280</v>
      </c>
      <c r="H6" s="43"/>
      <c r="I6" s="43">
        <v>550</v>
      </c>
      <c r="J6" s="43"/>
      <c r="K6" s="43">
        <v>1</v>
      </c>
      <c r="L6" s="43"/>
      <c r="M6" s="44">
        <v>1</v>
      </c>
      <c r="N6" s="45">
        <v>3778965</v>
      </c>
      <c r="O6" s="43">
        <v>828</v>
      </c>
      <c r="P6" s="43">
        <v>7987445</v>
      </c>
      <c r="Q6" s="44">
        <v>4063</v>
      </c>
      <c r="R6" s="7">
        <v>3682</v>
      </c>
      <c r="S6" s="8"/>
      <c r="T6" s="8">
        <v>10548</v>
      </c>
      <c r="U6" s="9"/>
      <c r="V6" s="46">
        <v>160033</v>
      </c>
      <c r="W6" s="8">
        <v>86455</v>
      </c>
      <c r="X6" s="8">
        <v>2011899</v>
      </c>
      <c r="Y6" s="9">
        <v>1324168</v>
      </c>
      <c r="Z6" s="47">
        <v>2112</v>
      </c>
      <c r="AA6" s="43">
        <v>1661</v>
      </c>
      <c r="AB6" s="43">
        <v>6226</v>
      </c>
      <c r="AC6" s="48">
        <v>2800</v>
      </c>
      <c r="AD6" s="47"/>
      <c r="AE6" s="43"/>
      <c r="AF6" s="43"/>
      <c r="AG6" s="48"/>
      <c r="AH6" s="47">
        <v>94</v>
      </c>
      <c r="AI6" s="43"/>
      <c r="AJ6" s="43">
        <v>219</v>
      </c>
      <c r="AK6" s="48"/>
      <c r="AL6" s="47">
        <v>6643</v>
      </c>
      <c r="AM6" s="43">
        <v>0</v>
      </c>
      <c r="AN6" s="43">
        <v>16334</v>
      </c>
      <c r="AO6" s="48">
        <v>0</v>
      </c>
      <c r="AP6" s="47">
        <v>5357515</v>
      </c>
      <c r="AQ6" s="49">
        <v>2370806</v>
      </c>
      <c r="AR6" s="43">
        <v>15014447</v>
      </c>
      <c r="AS6" s="48">
        <v>4072947</v>
      </c>
      <c r="AT6" s="46">
        <v>91174</v>
      </c>
      <c r="AU6" s="8">
        <v>33472</v>
      </c>
      <c r="AV6" s="8">
        <v>192163</v>
      </c>
      <c r="AW6" s="9">
        <v>83830</v>
      </c>
      <c r="AX6" s="50">
        <v>5090</v>
      </c>
      <c r="AY6" s="51">
        <v>3404</v>
      </c>
      <c r="AZ6" s="51">
        <v>13282</v>
      </c>
      <c r="BA6" s="52">
        <v>8206</v>
      </c>
      <c r="BB6" s="47">
        <v>618617</v>
      </c>
      <c r="BC6" s="43">
        <v>603469</v>
      </c>
      <c r="BD6" s="43">
        <v>672064</v>
      </c>
      <c r="BE6" s="48">
        <v>681305</v>
      </c>
      <c r="BF6" s="47">
        <v>120626</v>
      </c>
      <c r="BG6" s="43">
        <v>21291</v>
      </c>
      <c r="BH6" s="43">
        <v>302821</v>
      </c>
      <c r="BI6" s="48">
        <v>24220</v>
      </c>
      <c r="BJ6" s="47">
        <v>40556</v>
      </c>
      <c r="BK6" s="43">
        <v>37327</v>
      </c>
      <c r="BL6" s="43">
        <v>110265</v>
      </c>
      <c r="BM6" s="48">
        <v>100145</v>
      </c>
      <c r="BN6" s="47">
        <v>24121</v>
      </c>
      <c r="BO6" s="43">
        <v>19779</v>
      </c>
      <c r="BP6" s="43">
        <v>59869</v>
      </c>
      <c r="BQ6" s="48">
        <v>57880</v>
      </c>
      <c r="BR6" s="47"/>
      <c r="BS6" s="43"/>
      <c r="BT6" s="43"/>
      <c r="BU6" s="48"/>
      <c r="BV6" s="53"/>
      <c r="BW6" s="8"/>
      <c r="BX6" s="8"/>
      <c r="BY6" s="9"/>
      <c r="BZ6" s="40">
        <v>119983</v>
      </c>
      <c r="CA6" s="41">
        <v>91021</v>
      </c>
      <c r="CB6" s="41">
        <v>318345</v>
      </c>
      <c r="CC6" s="42">
        <v>282051</v>
      </c>
      <c r="CD6" s="54"/>
      <c r="CE6" s="55">
        <v>1</v>
      </c>
      <c r="CF6" s="55">
        <v>2</v>
      </c>
      <c r="CG6" s="56">
        <v>2</v>
      </c>
      <c r="CH6" s="57">
        <v>99417</v>
      </c>
      <c r="CI6" s="58">
        <v>54096</v>
      </c>
      <c r="CJ6" s="58">
        <v>297108</v>
      </c>
      <c r="CK6" s="59">
        <v>231391</v>
      </c>
      <c r="CL6" s="47">
        <v>8</v>
      </c>
      <c r="CM6" s="43">
        <v>32</v>
      </c>
      <c r="CN6" s="43">
        <v>57</v>
      </c>
      <c r="CO6" s="48">
        <v>126</v>
      </c>
      <c r="CP6" s="37">
        <f t="shared" ref="CP6:CP14" si="2">SUM(B6+F6+J6+N6+R6+V6+Z6+AD6+AH6+AL6+AP6+AT6+AX6+BB6+BF6+BJ6+BN6+BR6+BV6+BZ6+CD6+CH6+CL6)</f>
        <v>10707158</v>
      </c>
      <c r="CQ6" s="37">
        <f t="shared" si="0"/>
        <v>3325470</v>
      </c>
      <c r="CR6" s="37">
        <f t="shared" si="0"/>
        <v>27815466</v>
      </c>
      <c r="CS6" s="37">
        <f t="shared" si="0"/>
        <v>6875575</v>
      </c>
      <c r="CT6" s="60">
        <v>18230</v>
      </c>
      <c r="CU6" s="61">
        <v>1786</v>
      </c>
      <c r="CV6" s="61">
        <v>34283</v>
      </c>
      <c r="CW6" s="62">
        <v>4080</v>
      </c>
      <c r="CX6" s="37">
        <f t="shared" ref="CX6:CX14" si="3">CP6+CT6</f>
        <v>10725388</v>
      </c>
      <c r="CY6" s="37">
        <f t="shared" si="1"/>
        <v>3327256</v>
      </c>
      <c r="CZ6" s="37">
        <f t="shared" si="1"/>
        <v>27849749</v>
      </c>
      <c r="DA6" s="37">
        <f t="shared" si="1"/>
        <v>6879655</v>
      </c>
    </row>
    <row r="7" spans="1:105" x14ac:dyDescent="0.3">
      <c r="A7" s="31" t="s">
        <v>10</v>
      </c>
      <c r="B7" s="32">
        <v>2450</v>
      </c>
      <c r="C7" s="32">
        <v>259026</v>
      </c>
      <c r="D7" s="32">
        <v>10729</v>
      </c>
      <c r="E7" s="32">
        <v>349204</v>
      </c>
      <c r="F7" s="43"/>
      <c r="G7" s="43"/>
      <c r="H7" s="43"/>
      <c r="I7" s="43"/>
      <c r="J7" s="43"/>
      <c r="K7" s="43"/>
      <c r="L7" s="43"/>
      <c r="M7" s="44"/>
      <c r="N7" s="45">
        <v>1243294</v>
      </c>
      <c r="O7" s="43">
        <v>1735899</v>
      </c>
      <c r="P7" s="43">
        <v>5110930</v>
      </c>
      <c r="Q7" s="44">
        <v>4931477</v>
      </c>
      <c r="R7" s="7">
        <v>46</v>
      </c>
      <c r="S7" s="8"/>
      <c r="T7" s="8">
        <v>46</v>
      </c>
      <c r="U7" s="9"/>
      <c r="V7" s="46">
        <v>2637</v>
      </c>
      <c r="W7" s="8"/>
      <c r="X7" s="8">
        <v>6764</v>
      </c>
      <c r="Y7" s="9"/>
      <c r="Z7" s="47">
        <v>48966</v>
      </c>
      <c r="AA7" s="43">
        <v>21903</v>
      </c>
      <c r="AB7" s="43">
        <v>266491</v>
      </c>
      <c r="AC7" s="48">
        <v>21903</v>
      </c>
      <c r="AD7" s="47"/>
      <c r="AE7" s="43"/>
      <c r="AF7" s="43"/>
      <c r="AG7" s="48"/>
      <c r="AH7" s="47"/>
      <c r="AI7" s="43"/>
      <c r="AJ7" s="43"/>
      <c r="AK7" s="48"/>
      <c r="AL7" s="47">
        <v>0</v>
      </c>
      <c r="AM7" s="43">
        <v>0</v>
      </c>
      <c r="AN7" s="43"/>
      <c r="AO7" s="48">
        <v>0</v>
      </c>
      <c r="AP7" s="47">
        <v>704331</v>
      </c>
      <c r="AQ7" s="49">
        <v>224175</v>
      </c>
      <c r="AR7" s="43">
        <v>1602881</v>
      </c>
      <c r="AS7" s="48">
        <v>316808</v>
      </c>
      <c r="AT7" s="46">
        <v>19217</v>
      </c>
      <c r="AU7" s="8">
        <v>486</v>
      </c>
      <c r="AV7" s="8">
        <v>42201</v>
      </c>
      <c r="AW7" s="9">
        <v>4710</v>
      </c>
      <c r="AX7" s="50"/>
      <c r="AY7" s="51"/>
      <c r="AZ7" s="51"/>
      <c r="BA7" s="52"/>
      <c r="BB7" s="47">
        <v>0</v>
      </c>
      <c r="BC7" s="43">
        <v>0</v>
      </c>
      <c r="BD7" s="43">
        <v>0</v>
      </c>
      <c r="BE7" s="48">
        <v>0</v>
      </c>
      <c r="BF7" s="47">
        <v>509039</v>
      </c>
      <c r="BG7" s="43">
        <v>137331</v>
      </c>
      <c r="BH7" s="43">
        <v>1188421</v>
      </c>
      <c r="BI7" s="48">
        <v>178015</v>
      </c>
      <c r="BJ7" s="47"/>
      <c r="BK7" s="43"/>
      <c r="BL7" s="43"/>
      <c r="BM7" s="48"/>
      <c r="BN7" s="47">
        <v>1434</v>
      </c>
      <c r="BO7" s="43">
        <v>1715</v>
      </c>
      <c r="BP7" s="43">
        <v>13531</v>
      </c>
      <c r="BQ7" s="48">
        <v>5184</v>
      </c>
      <c r="BR7" s="47"/>
      <c r="BS7" s="43"/>
      <c r="BT7" s="43"/>
      <c r="BU7" s="48"/>
      <c r="BV7" s="53"/>
      <c r="BW7" s="8"/>
      <c r="BX7" s="8"/>
      <c r="BY7" s="9"/>
      <c r="BZ7" s="40">
        <v>20018</v>
      </c>
      <c r="CA7" s="41">
        <v>11864</v>
      </c>
      <c r="CB7" s="41">
        <v>36222</v>
      </c>
      <c r="CC7" s="42">
        <v>17815</v>
      </c>
      <c r="CD7" s="54">
        <v>74461</v>
      </c>
      <c r="CE7" s="55">
        <v>177463</v>
      </c>
      <c r="CF7" s="55">
        <v>409203</v>
      </c>
      <c r="CG7" s="56">
        <v>458344</v>
      </c>
      <c r="CH7" s="57">
        <v>0</v>
      </c>
      <c r="CI7" s="58">
        <v>0</v>
      </c>
      <c r="CJ7" s="58">
        <v>0</v>
      </c>
      <c r="CK7" s="59">
        <v>0</v>
      </c>
      <c r="CL7" s="47"/>
      <c r="CM7" s="43">
        <v>10</v>
      </c>
      <c r="CN7" s="43">
        <v>2</v>
      </c>
      <c r="CO7" s="48">
        <v>185</v>
      </c>
      <c r="CP7" s="37">
        <f t="shared" si="2"/>
        <v>2625893</v>
      </c>
      <c r="CQ7" s="37">
        <f t="shared" si="0"/>
        <v>2569872</v>
      </c>
      <c r="CR7" s="37">
        <f t="shared" si="0"/>
        <v>8687421</v>
      </c>
      <c r="CS7" s="37">
        <f t="shared" si="0"/>
        <v>6283645</v>
      </c>
      <c r="CT7" s="60">
        <v>29394</v>
      </c>
      <c r="CU7" s="61">
        <v>2154</v>
      </c>
      <c r="CV7" s="61">
        <v>31514</v>
      </c>
      <c r="CW7" s="62">
        <v>3974</v>
      </c>
      <c r="CX7" s="37">
        <f t="shared" si="3"/>
        <v>2655287</v>
      </c>
      <c r="CY7" s="37">
        <f t="shared" si="1"/>
        <v>2572026</v>
      </c>
      <c r="CZ7" s="37">
        <f t="shared" si="1"/>
        <v>8718935</v>
      </c>
      <c r="DA7" s="37">
        <f t="shared" si="1"/>
        <v>6287619</v>
      </c>
    </row>
    <row r="8" spans="1:105" x14ac:dyDescent="0.3">
      <c r="A8" s="31" t="s">
        <v>11</v>
      </c>
      <c r="B8" s="32">
        <v>208080</v>
      </c>
      <c r="C8" s="32">
        <v>187262</v>
      </c>
      <c r="D8" s="32">
        <v>674634</v>
      </c>
      <c r="E8" s="32">
        <v>660396</v>
      </c>
      <c r="F8" s="43">
        <v>3622</v>
      </c>
      <c r="G8" s="43">
        <v>5674</v>
      </c>
      <c r="H8" s="43">
        <v>28801</v>
      </c>
      <c r="I8" s="43">
        <v>5674</v>
      </c>
      <c r="J8" s="43">
        <v>36313</v>
      </c>
      <c r="K8" s="43">
        <v>32128</v>
      </c>
      <c r="L8" s="43">
        <v>197843</v>
      </c>
      <c r="M8" s="44">
        <v>122241</v>
      </c>
      <c r="N8" s="45">
        <v>348199</v>
      </c>
      <c r="O8" s="43">
        <v>680294</v>
      </c>
      <c r="P8" s="43">
        <v>1335662</v>
      </c>
      <c r="Q8" s="44">
        <v>1539110</v>
      </c>
      <c r="R8" s="7"/>
      <c r="S8" s="8"/>
      <c r="T8" s="8"/>
      <c r="U8" s="9"/>
      <c r="V8" s="46">
        <v>402</v>
      </c>
      <c r="W8" s="8">
        <v>2</v>
      </c>
      <c r="X8" s="8">
        <v>1141</v>
      </c>
      <c r="Y8" s="9">
        <v>2</v>
      </c>
      <c r="Z8" s="47">
        <v>1898390</v>
      </c>
      <c r="AA8" s="43">
        <v>1953651</v>
      </c>
      <c r="AB8" s="43">
        <v>6562748</v>
      </c>
      <c r="AC8" s="48">
        <v>6805816</v>
      </c>
      <c r="AD8" s="47">
        <v>16348</v>
      </c>
      <c r="AE8" s="43">
        <v>12628</v>
      </c>
      <c r="AF8" s="43">
        <v>44235</v>
      </c>
      <c r="AG8" s="48">
        <v>37229</v>
      </c>
      <c r="AH8" s="47">
        <v>374097</v>
      </c>
      <c r="AI8" s="43">
        <v>259858</v>
      </c>
      <c r="AJ8" s="43">
        <v>1140911</v>
      </c>
      <c r="AK8" s="48">
        <v>805003</v>
      </c>
      <c r="AL8" s="47">
        <v>22883</v>
      </c>
      <c r="AM8" s="43">
        <v>21320</v>
      </c>
      <c r="AN8" s="43">
        <v>49677</v>
      </c>
      <c r="AO8" s="48">
        <v>70978</v>
      </c>
      <c r="AP8" s="47">
        <v>887543</v>
      </c>
      <c r="AQ8" s="49">
        <v>106522</v>
      </c>
      <c r="AR8" s="43">
        <v>1703394</v>
      </c>
      <c r="AS8" s="48">
        <v>320934</v>
      </c>
      <c r="AT8" s="46">
        <v>225137</v>
      </c>
      <c r="AU8" s="8">
        <v>75416</v>
      </c>
      <c r="AV8" s="8">
        <v>435170</v>
      </c>
      <c r="AW8" s="9">
        <v>206278</v>
      </c>
      <c r="AX8" s="50"/>
      <c r="AY8" s="51">
        <v>-362</v>
      </c>
      <c r="AZ8" s="51"/>
      <c r="BA8" s="52">
        <v>495</v>
      </c>
      <c r="BB8" s="47">
        <v>19739</v>
      </c>
      <c r="BC8" s="43">
        <v>1528</v>
      </c>
      <c r="BD8" s="43">
        <v>292619</v>
      </c>
      <c r="BE8" s="48">
        <v>17195</v>
      </c>
      <c r="BF8" s="47">
        <v>299553</v>
      </c>
      <c r="BG8" s="43">
        <v>237228</v>
      </c>
      <c r="BH8" s="43">
        <v>771733</v>
      </c>
      <c r="BI8" s="48">
        <v>585048</v>
      </c>
      <c r="BJ8" s="47">
        <v>94167</v>
      </c>
      <c r="BK8" s="43">
        <v>66965</v>
      </c>
      <c r="BL8" s="43">
        <v>315136</v>
      </c>
      <c r="BM8" s="48">
        <v>242178</v>
      </c>
      <c r="BN8" s="47">
        <v>59391</v>
      </c>
      <c r="BO8" s="43">
        <v>34591</v>
      </c>
      <c r="BP8" s="43">
        <v>300470</v>
      </c>
      <c r="BQ8" s="48">
        <v>168700</v>
      </c>
      <c r="BR8" s="47">
        <v>3165</v>
      </c>
      <c r="BS8" s="43">
        <v>5510</v>
      </c>
      <c r="BT8" s="43">
        <v>4823</v>
      </c>
      <c r="BU8" s="48">
        <v>6252</v>
      </c>
      <c r="BV8" s="53"/>
      <c r="BW8" s="8"/>
      <c r="BX8" s="8"/>
      <c r="BY8" s="9"/>
      <c r="BZ8" s="40">
        <v>144694</v>
      </c>
      <c r="CA8" s="41">
        <v>319977</v>
      </c>
      <c r="CB8" s="41">
        <v>706002</v>
      </c>
      <c r="CC8" s="42">
        <v>449394</v>
      </c>
      <c r="CD8" s="54">
        <v>181960</v>
      </c>
      <c r="CE8" s="55">
        <v>132449</v>
      </c>
      <c r="CF8" s="55">
        <v>381552</v>
      </c>
      <c r="CG8" s="56">
        <v>386304</v>
      </c>
      <c r="CH8" s="57">
        <v>1435</v>
      </c>
      <c r="CI8" s="58">
        <v>287</v>
      </c>
      <c r="CJ8" s="58">
        <v>4554</v>
      </c>
      <c r="CK8" s="59">
        <v>25997</v>
      </c>
      <c r="CL8" s="47">
        <v>8539</v>
      </c>
      <c r="CM8" s="43">
        <v>1275</v>
      </c>
      <c r="CN8" s="43">
        <v>9126</v>
      </c>
      <c r="CO8" s="48">
        <v>3112</v>
      </c>
      <c r="CP8" s="37">
        <f t="shared" si="2"/>
        <v>4833657</v>
      </c>
      <c r="CQ8" s="37">
        <f t="shared" si="0"/>
        <v>4134203</v>
      </c>
      <c r="CR8" s="37">
        <f t="shared" si="0"/>
        <v>14960231</v>
      </c>
      <c r="CS8" s="37">
        <f t="shared" si="0"/>
        <v>12458336</v>
      </c>
      <c r="CT8" s="60">
        <v>3294</v>
      </c>
      <c r="CU8" s="61">
        <v>174</v>
      </c>
      <c r="CV8" s="61">
        <v>9554</v>
      </c>
      <c r="CW8" s="62">
        <v>5097</v>
      </c>
      <c r="CX8" s="37">
        <f t="shared" si="3"/>
        <v>4836951</v>
      </c>
      <c r="CY8" s="37">
        <f t="shared" si="1"/>
        <v>4134377</v>
      </c>
      <c r="CZ8" s="37">
        <f t="shared" si="1"/>
        <v>14969785</v>
      </c>
      <c r="DA8" s="37">
        <f t="shared" si="1"/>
        <v>12463433</v>
      </c>
    </row>
    <row r="9" spans="1:105" x14ac:dyDescent="0.3">
      <c r="A9" s="31" t="s">
        <v>12</v>
      </c>
      <c r="B9" s="32"/>
      <c r="C9" s="32"/>
      <c r="D9" s="32"/>
      <c r="E9" s="32"/>
      <c r="F9" s="43"/>
      <c r="G9" s="43"/>
      <c r="H9" s="43"/>
      <c r="I9" s="43"/>
      <c r="J9" s="43"/>
      <c r="K9" s="43"/>
      <c r="L9" s="43"/>
      <c r="M9" s="44"/>
      <c r="N9" s="45">
        <v>215316</v>
      </c>
      <c r="O9" s="43">
        <v>181077</v>
      </c>
      <c r="P9" s="43">
        <v>636684</v>
      </c>
      <c r="Q9" s="44">
        <v>353486</v>
      </c>
      <c r="R9" s="7"/>
      <c r="S9" s="8"/>
      <c r="T9" s="8"/>
      <c r="U9" s="9"/>
      <c r="V9" s="46"/>
      <c r="W9" s="8"/>
      <c r="X9" s="8"/>
      <c r="Y9" s="9"/>
      <c r="Z9" s="47">
        <v>36882</v>
      </c>
      <c r="AA9" s="43"/>
      <c r="AB9" s="43">
        <v>75664</v>
      </c>
      <c r="AC9" s="48"/>
      <c r="AD9" s="47"/>
      <c r="AE9" s="43"/>
      <c r="AF9" s="43"/>
      <c r="AG9" s="48"/>
      <c r="AH9" s="47"/>
      <c r="AI9" s="43"/>
      <c r="AJ9" s="43"/>
      <c r="AK9" s="48"/>
      <c r="AL9" s="47"/>
      <c r="AM9" s="43">
        <v>0</v>
      </c>
      <c r="AN9" s="43"/>
      <c r="AO9" s="48"/>
      <c r="AP9" s="47">
        <v>12728</v>
      </c>
      <c r="AQ9" s="49">
        <v>123681</v>
      </c>
      <c r="AR9" s="43">
        <v>122710</v>
      </c>
      <c r="AS9" s="48">
        <v>250546</v>
      </c>
      <c r="AT9" s="46"/>
      <c r="AU9" s="8"/>
      <c r="AV9" s="8"/>
      <c r="AW9" s="9"/>
      <c r="AX9" s="50"/>
      <c r="AY9" s="51"/>
      <c r="AZ9" s="51"/>
      <c r="BA9" s="52"/>
      <c r="BB9" s="47">
        <v>0</v>
      </c>
      <c r="BC9" s="43">
        <v>0</v>
      </c>
      <c r="BD9" s="43">
        <v>0</v>
      </c>
      <c r="BE9" s="48">
        <v>0</v>
      </c>
      <c r="BF9" s="47">
        <v>824805</v>
      </c>
      <c r="BG9" s="43">
        <v>179087</v>
      </c>
      <c r="BH9" s="43">
        <v>1762717</v>
      </c>
      <c r="BI9" s="48">
        <v>187457</v>
      </c>
      <c r="BJ9" s="47"/>
      <c r="BK9" s="43"/>
      <c r="BL9" s="43"/>
      <c r="BM9" s="48"/>
      <c r="BN9" s="47"/>
      <c r="BO9" s="43"/>
      <c r="BP9" s="43"/>
      <c r="BQ9" s="48"/>
      <c r="BR9" s="47"/>
      <c r="BS9" s="43"/>
      <c r="BT9" s="43"/>
      <c r="BU9" s="48"/>
      <c r="BV9" s="53"/>
      <c r="BW9" s="8"/>
      <c r="BX9" s="8"/>
      <c r="BY9" s="9"/>
      <c r="BZ9" s="63" t="s">
        <v>19</v>
      </c>
      <c r="CA9" s="64" t="s">
        <v>19</v>
      </c>
      <c r="CB9" s="64"/>
      <c r="CC9" s="65"/>
      <c r="CD9" s="54"/>
      <c r="CE9" s="55"/>
      <c r="CF9" s="55"/>
      <c r="CG9" s="56"/>
      <c r="CH9" s="57">
        <v>0</v>
      </c>
      <c r="CI9" s="58">
        <v>0</v>
      </c>
      <c r="CJ9" s="58">
        <v>0</v>
      </c>
      <c r="CK9" s="59">
        <v>0</v>
      </c>
      <c r="CL9" s="47"/>
      <c r="CM9" s="43"/>
      <c r="CN9" s="43"/>
      <c r="CO9" s="48"/>
      <c r="CP9" s="37" t="e">
        <f t="shared" si="2"/>
        <v>#VALUE!</v>
      </c>
      <c r="CQ9" s="37"/>
      <c r="CR9" s="37">
        <f t="shared" si="0"/>
        <v>2597775</v>
      </c>
      <c r="CS9" s="37">
        <f t="shared" si="0"/>
        <v>791489</v>
      </c>
      <c r="CT9" s="60">
        <v>0</v>
      </c>
      <c r="CU9" s="61"/>
      <c r="CV9" s="61">
        <v>0</v>
      </c>
      <c r="CW9" s="62"/>
      <c r="CX9" s="37" t="e">
        <f t="shared" si="3"/>
        <v>#VALUE!</v>
      </c>
      <c r="CY9" s="37">
        <f t="shared" si="1"/>
        <v>0</v>
      </c>
      <c r="CZ9" s="37">
        <f t="shared" si="1"/>
        <v>2597775</v>
      </c>
      <c r="DA9" s="37">
        <f t="shared" si="1"/>
        <v>791489</v>
      </c>
    </row>
    <row r="10" spans="1:105" x14ac:dyDescent="0.3">
      <c r="A10" s="31" t="s">
        <v>13</v>
      </c>
      <c r="B10" s="32">
        <v>245994</v>
      </c>
      <c r="C10" s="32">
        <v>363641</v>
      </c>
      <c r="D10" s="32">
        <v>519697</v>
      </c>
      <c r="E10" s="32">
        <v>924537</v>
      </c>
      <c r="F10" s="66">
        <v>28434</v>
      </c>
      <c r="G10" s="66">
        <v>16160</v>
      </c>
      <c r="H10" s="66">
        <v>59334</v>
      </c>
      <c r="I10" s="66">
        <v>18627</v>
      </c>
      <c r="J10" s="66">
        <v>21101</v>
      </c>
      <c r="K10" s="66">
        <v>23080</v>
      </c>
      <c r="L10" s="66">
        <v>138500</v>
      </c>
      <c r="M10" s="67">
        <v>117840</v>
      </c>
      <c r="N10" s="68">
        <v>2178278</v>
      </c>
      <c r="O10" s="66">
        <v>5965838</v>
      </c>
      <c r="P10" s="66">
        <v>8692137</v>
      </c>
      <c r="Q10" s="67">
        <v>17945126</v>
      </c>
      <c r="R10" s="12">
        <v>23743</v>
      </c>
      <c r="S10" s="13">
        <v>22156</v>
      </c>
      <c r="T10" s="13">
        <v>48445</v>
      </c>
      <c r="U10" s="14">
        <v>43929</v>
      </c>
      <c r="V10" s="69">
        <v>4306</v>
      </c>
      <c r="W10" s="13">
        <v>824</v>
      </c>
      <c r="X10" s="13">
        <v>9942</v>
      </c>
      <c r="Y10" s="14">
        <v>2661</v>
      </c>
      <c r="Z10" s="70">
        <v>2871477</v>
      </c>
      <c r="AA10" s="66">
        <v>2108953</v>
      </c>
      <c r="AB10" s="66">
        <v>8157584</v>
      </c>
      <c r="AC10" s="71">
        <v>6757152</v>
      </c>
      <c r="AD10" s="70">
        <v>10236</v>
      </c>
      <c r="AE10" s="66">
        <v>14401</v>
      </c>
      <c r="AF10" s="66">
        <v>51007</v>
      </c>
      <c r="AG10" s="71">
        <v>126970</v>
      </c>
      <c r="AH10" s="70">
        <v>24457</v>
      </c>
      <c r="AI10" s="66">
        <v>37428</v>
      </c>
      <c r="AJ10" s="66">
        <v>80219</v>
      </c>
      <c r="AK10" s="71">
        <v>683488</v>
      </c>
      <c r="AL10" s="70">
        <v>151313</v>
      </c>
      <c r="AM10" s="66">
        <v>112003</v>
      </c>
      <c r="AN10" s="66">
        <v>393743</v>
      </c>
      <c r="AO10" s="71">
        <v>378375</v>
      </c>
      <c r="AP10" s="70">
        <v>6015695</v>
      </c>
      <c r="AQ10" s="49">
        <v>5591741</v>
      </c>
      <c r="AR10" s="66">
        <v>15708322</v>
      </c>
      <c r="AS10" s="71">
        <v>14767900</v>
      </c>
      <c r="AT10" s="69">
        <v>5143490</v>
      </c>
      <c r="AU10" s="13">
        <v>608019</v>
      </c>
      <c r="AV10" s="13">
        <v>13001119</v>
      </c>
      <c r="AW10" s="14">
        <v>2079088</v>
      </c>
      <c r="AX10" s="50">
        <v>47780</v>
      </c>
      <c r="AY10" s="51">
        <v>37978</v>
      </c>
      <c r="AZ10" s="51">
        <v>143526</v>
      </c>
      <c r="BA10" s="52">
        <v>76148</v>
      </c>
      <c r="BB10" s="70">
        <v>330417</v>
      </c>
      <c r="BC10" s="66">
        <v>137952</v>
      </c>
      <c r="BD10" s="66">
        <v>649104</v>
      </c>
      <c r="BE10" s="71">
        <v>2695020</v>
      </c>
      <c r="BF10" s="72">
        <v>1304522</v>
      </c>
      <c r="BG10" s="73">
        <v>1551704</v>
      </c>
      <c r="BH10" s="73">
        <v>4916641</v>
      </c>
      <c r="BI10" s="74">
        <v>4686138</v>
      </c>
      <c r="BJ10" s="70">
        <v>180701</v>
      </c>
      <c r="BK10" s="66">
        <v>343015</v>
      </c>
      <c r="BL10" s="66">
        <v>1211889</v>
      </c>
      <c r="BM10" s="71">
        <v>1510911</v>
      </c>
      <c r="BN10" s="70">
        <v>55825</v>
      </c>
      <c r="BO10" s="66">
        <v>43620</v>
      </c>
      <c r="BP10" s="66">
        <v>220860</v>
      </c>
      <c r="BQ10" s="71">
        <v>168078</v>
      </c>
      <c r="BR10" s="70">
        <v>484843</v>
      </c>
      <c r="BS10" s="66">
        <v>164625</v>
      </c>
      <c r="BT10" s="66">
        <v>2887144</v>
      </c>
      <c r="BU10" s="71">
        <v>964480</v>
      </c>
      <c r="BV10" s="53"/>
      <c r="BW10" s="8"/>
      <c r="BX10" s="8"/>
      <c r="BY10" s="9"/>
      <c r="BZ10" s="40">
        <v>596495</v>
      </c>
      <c r="CA10" s="41">
        <v>1223361</v>
      </c>
      <c r="CB10" s="41">
        <v>1427779</v>
      </c>
      <c r="CC10" s="42">
        <v>2086585</v>
      </c>
      <c r="CD10" s="54">
        <v>674178</v>
      </c>
      <c r="CE10" s="55">
        <v>997683</v>
      </c>
      <c r="CF10" s="55">
        <v>2512096</v>
      </c>
      <c r="CG10" s="56">
        <v>3989158</v>
      </c>
      <c r="CH10" s="57">
        <v>785</v>
      </c>
      <c r="CI10" s="58">
        <v>12962</v>
      </c>
      <c r="CJ10" s="58">
        <v>2541</v>
      </c>
      <c r="CK10" s="59">
        <v>26095</v>
      </c>
      <c r="CL10" s="70">
        <v>49329</v>
      </c>
      <c r="CM10" s="66">
        <v>21712</v>
      </c>
      <c r="CN10" s="66">
        <v>105844</v>
      </c>
      <c r="CO10" s="71">
        <v>89870</v>
      </c>
      <c r="CP10" s="37">
        <f t="shared" si="2"/>
        <v>20443399</v>
      </c>
      <c r="CQ10" s="37">
        <f t="shared" si="0"/>
        <v>19398856</v>
      </c>
      <c r="CR10" s="37">
        <f t="shared" si="0"/>
        <v>60937473</v>
      </c>
      <c r="CS10" s="37">
        <f t="shared" si="0"/>
        <v>60138176</v>
      </c>
      <c r="CT10" s="70">
        <v>20659200</v>
      </c>
      <c r="CU10" s="66">
        <v>20805236</v>
      </c>
      <c r="CV10" s="66">
        <v>42250743</v>
      </c>
      <c r="CW10" s="71">
        <v>31099041</v>
      </c>
      <c r="CX10" s="37">
        <f t="shared" si="3"/>
        <v>41102599</v>
      </c>
      <c r="CY10" s="37">
        <f t="shared" si="1"/>
        <v>40204092</v>
      </c>
      <c r="CZ10" s="37">
        <f t="shared" si="1"/>
        <v>103188216</v>
      </c>
      <c r="DA10" s="37">
        <f t="shared" si="1"/>
        <v>91237217</v>
      </c>
    </row>
    <row r="11" spans="1:105" x14ac:dyDescent="0.3">
      <c r="A11" s="31" t="s">
        <v>14</v>
      </c>
      <c r="B11" s="32"/>
      <c r="C11" s="32"/>
      <c r="D11" s="32"/>
      <c r="E11" s="32"/>
      <c r="F11" s="66"/>
      <c r="G11" s="66"/>
      <c r="H11" s="66"/>
      <c r="I11" s="66"/>
      <c r="J11" s="66"/>
      <c r="K11" s="66"/>
      <c r="L11" s="66"/>
      <c r="M11" s="67"/>
      <c r="N11" s="68"/>
      <c r="O11" s="66">
        <v>3357</v>
      </c>
      <c r="P11" s="66"/>
      <c r="Q11" s="67">
        <v>4023</v>
      </c>
      <c r="R11" s="12"/>
      <c r="S11" s="13"/>
      <c r="T11" s="13"/>
      <c r="U11" s="14"/>
      <c r="V11" s="69"/>
      <c r="W11" s="13"/>
      <c r="X11" s="13"/>
      <c r="Y11" s="14"/>
      <c r="Z11" s="70"/>
      <c r="AA11" s="66"/>
      <c r="AB11" s="66"/>
      <c r="AC11" s="71"/>
      <c r="AD11" s="70"/>
      <c r="AE11" s="66"/>
      <c r="AF11" s="66"/>
      <c r="AG11" s="71"/>
      <c r="AH11" s="70"/>
      <c r="AI11" s="66"/>
      <c r="AJ11" s="66"/>
      <c r="AK11" s="71"/>
      <c r="AL11" s="70"/>
      <c r="AM11" s="66"/>
      <c r="AN11" s="66"/>
      <c r="AO11" s="71"/>
      <c r="AP11" s="70"/>
      <c r="AQ11" s="75"/>
      <c r="AR11" s="66"/>
      <c r="AS11" s="71"/>
      <c r="AT11" s="69"/>
      <c r="AU11" s="13"/>
      <c r="AV11" s="13"/>
      <c r="AW11" s="14"/>
      <c r="AX11" s="50"/>
      <c r="AY11" s="51"/>
      <c r="AZ11" s="51"/>
      <c r="BA11" s="52"/>
      <c r="BB11" s="70"/>
      <c r="BC11" s="66"/>
      <c r="BD11" s="66"/>
      <c r="BE11" s="71"/>
      <c r="BF11" s="72"/>
      <c r="BG11" s="73"/>
      <c r="BH11" s="73"/>
      <c r="BI11" s="74"/>
      <c r="BJ11" s="70"/>
      <c r="BK11" s="66"/>
      <c r="BL11" s="66"/>
      <c r="BM11" s="71"/>
      <c r="BN11" s="70"/>
      <c r="BO11" s="66"/>
      <c r="BP11" s="66"/>
      <c r="BQ11" s="71"/>
      <c r="BR11" s="70"/>
      <c r="BS11" s="66"/>
      <c r="BT11" s="66"/>
      <c r="BU11" s="71"/>
      <c r="BV11" s="53"/>
      <c r="BW11" s="8"/>
      <c r="BX11" s="8"/>
      <c r="BY11" s="9"/>
      <c r="BZ11" s="40"/>
      <c r="CA11" s="41"/>
      <c r="CB11" s="41"/>
      <c r="CC11" s="42"/>
      <c r="CD11" s="54"/>
      <c r="CE11" s="55"/>
      <c r="CF11" s="55"/>
      <c r="CG11" s="56"/>
      <c r="CH11" s="57"/>
      <c r="CI11" s="58"/>
      <c r="CJ11" s="58"/>
      <c r="CK11" s="59"/>
      <c r="CL11" s="70"/>
      <c r="CM11" s="66"/>
      <c r="CN11" s="66"/>
      <c r="CO11" s="71"/>
      <c r="CP11" s="37">
        <f t="shared" si="2"/>
        <v>0</v>
      </c>
      <c r="CQ11" s="37">
        <f t="shared" si="0"/>
        <v>3357</v>
      </c>
      <c r="CR11" s="37">
        <f t="shared" si="0"/>
        <v>0</v>
      </c>
      <c r="CS11" s="37">
        <f t="shared" si="0"/>
        <v>4023</v>
      </c>
      <c r="CT11" s="70"/>
      <c r="CU11" s="66"/>
      <c r="CV11" s="66"/>
      <c r="CW11" s="71"/>
      <c r="CX11" s="37">
        <f t="shared" si="3"/>
        <v>0</v>
      </c>
      <c r="CY11" s="37">
        <f t="shared" si="1"/>
        <v>3357</v>
      </c>
      <c r="CZ11" s="37">
        <f t="shared" si="1"/>
        <v>0</v>
      </c>
      <c r="DA11" s="37">
        <f t="shared" si="1"/>
        <v>4023</v>
      </c>
    </row>
    <row r="12" spans="1:105" s="97" customFormat="1" x14ac:dyDescent="0.3">
      <c r="A12" s="24" t="s">
        <v>15</v>
      </c>
      <c r="B12" s="76">
        <v>739657</v>
      </c>
      <c r="C12" s="76">
        <v>815222</v>
      </c>
      <c r="D12" s="76">
        <v>2019382</v>
      </c>
      <c r="E12" s="76">
        <v>1949145</v>
      </c>
      <c r="F12" s="77">
        <v>32056</v>
      </c>
      <c r="G12" s="77">
        <v>22114</v>
      </c>
      <c r="H12" s="77">
        <v>88135</v>
      </c>
      <c r="I12" s="77">
        <v>24851</v>
      </c>
      <c r="J12" s="77">
        <v>57498</v>
      </c>
      <c r="K12" s="77">
        <v>56723</v>
      </c>
      <c r="L12" s="77">
        <v>338405</v>
      </c>
      <c r="M12" s="78">
        <v>243640</v>
      </c>
      <c r="N12" s="79">
        <v>7764873</v>
      </c>
      <c r="O12" s="77">
        <v>8568125</v>
      </c>
      <c r="P12" s="77">
        <v>23767032</v>
      </c>
      <c r="Q12" s="78">
        <v>24782082</v>
      </c>
      <c r="R12" s="80">
        <v>27471</v>
      </c>
      <c r="S12" s="81">
        <v>22156</v>
      </c>
      <c r="T12" s="81">
        <v>59039</v>
      </c>
      <c r="U12" s="82">
        <v>43929</v>
      </c>
      <c r="V12" s="83">
        <v>167378</v>
      </c>
      <c r="W12" s="81">
        <v>87281</v>
      </c>
      <c r="X12" s="81">
        <v>2029746</v>
      </c>
      <c r="Y12" s="82">
        <v>1326831</v>
      </c>
      <c r="Z12" s="84">
        <v>4857827</v>
      </c>
      <c r="AA12" s="77">
        <v>4086168</v>
      </c>
      <c r="AB12" s="77">
        <v>15068713</v>
      </c>
      <c r="AC12" s="85">
        <v>13587671</v>
      </c>
      <c r="AD12" s="84">
        <v>24041</v>
      </c>
      <c r="AE12" s="77">
        <v>27050</v>
      </c>
      <c r="AF12" s="77">
        <v>93129</v>
      </c>
      <c r="AG12" s="85">
        <v>163584</v>
      </c>
      <c r="AH12" s="84">
        <v>398648</v>
      </c>
      <c r="AI12" s="77">
        <v>297286</v>
      </c>
      <c r="AJ12" s="77">
        <v>1221349</v>
      </c>
      <c r="AK12" s="85">
        <v>1488491</v>
      </c>
      <c r="AL12" s="84">
        <v>180600</v>
      </c>
      <c r="AM12" s="77">
        <v>134402</v>
      </c>
      <c r="AN12" s="77">
        <v>460903</v>
      </c>
      <c r="AO12" s="85">
        <v>450523</v>
      </c>
      <c r="AP12" s="84">
        <v>12978994</v>
      </c>
      <c r="AQ12" s="86">
        <v>8418155</v>
      </c>
      <c r="AR12" s="77">
        <v>34153567</v>
      </c>
      <c r="AS12" s="85">
        <v>19730698</v>
      </c>
      <c r="AT12" s="83">
        <v>5712805</v>
      </c>
      <c r="AU12" s="81">
        <v>718909</v>
      </c>
      <c r="AV12" s="81">
        <v>13980331</v>
      </c>
      <c r="AW12" s="82">
        <v>2383852</v>
      </c>
      <c r="AX12" s="84">
        <v>52870</v>
      </c>
      <c r="AY12" s="77">
        <v>41020</v>
      </c>
      <c r="AZ12" s="77">
        <v>156808</v>
      </c>
      <c r="BA12" s="85">
        <v>84849</v>
      </c>
      <c r="BB12" s="84">
        <v>968773</v>
      </c>
      <c r="BC12" s="77">
        <v>742949</v>
      </c>
      <c r="BD12" s="77">
        <v>1613787</v>
      </c>
      <c r="BE12" s="85">
        <v>3393520</v>
      </c>
      <c r="BF12" s="84">
        <v>3058545</v>
      </c>
      <c r="BG12" s="77">
        <v>2126641</v>
      </c>
      <c r="BH12" s="77">
        <v>8942368</v>
      </c>
      <c r="BI12" s="85">
        <v>5663309</v>
      </c>
      <c r="BJ12" s="84">
        <v>1196190</v>
      </c>
      <c r="BK12" s="77">
        <v>450551</v>
      </c>
      <c r="BL12" s="77">
        <v>2937976</v>
      </c>
      <c r="BM12" s="85">
        <v>1859219</v>
      </c>
      <c r="BN12" s="84">
        <v>140799</v>
      </c>
      <c r="BO12" s="77">
        <v>100276</v>
      </c>
      <c r="BP12" s="77">
        <v>595189</v>
      </c>
      <c r="BQ12" s="85">
        <v>403477</v>
      </c>
      <c r="BR12" s="84">
        <v>488008</v>
      </c>
      <c r="BS12" s="77">
        <v>170207</v>
      </c>
      <c r="BT12" s="77">
        <v>2891966</v>
      </c>
      <c r="BU12" s="85">
        <v>970880</v>
      </c>
      <c r="BV12" s="87"/>
      <c r="BW12" s="81"/>
      <c r="BX12" s="81"/>
      <c r="BY12" s="82"/>
      <c r="BZ12" s="88">
        <v>888118</v>
      </c>
      <c r="CA12" s="89">
        <v>1659780</v>
      </c>
      <c r="CB12" s="89">
        <v>2512470</v>
      </c>
      <c r="CC12" s="90">
        <v>2919027</v>
      </c>
      <c r="CD12" s="91">
        <v>930599</v>
      </c>
      <c r="CE12" s="92">
        <v>1307596</v>
      </c>
      <c r="CF12" s="92">
        <v>3302853</v>
      </c>
      <c r="CG12" s="93">
        <v>4833808</v>
      </c>
      <c r="CH12" s="94">
        <v>101647</v>
      </c>
      <c r="CI12" s="95">
        <v>67395</v>
      </c>
      <c r="CJ12" s="95">
        <v>304255</v>
      </c>
      <c r="CK12" s="96">
        <v>283553</v>
      </c>
      <c r="CL12" s="84">
        <v>58826</v>
      </c>
      <c r="CM12" s="77">
        <v>23609</v>
      </c>
      <c r="CN12" s="77">
        <v>118741</v>
      </c>
      <c r="CO12" s="85">
        <v>96850</v>
      </c>
      <c r="CP12" s="37">
        <f t="shared" si="2"/>
        <v>40826223</v>
      </c>
      <c r="CQ12" s="37">
        <f t="shared" si="0"/>
        <v>29943615</v>
      </c>
      <c r="CR12" s="37">
        <f t="shared" si="0"/>
        <v>116656144</v>
      </c>
      <c r="CS12" s="37">
        <f t="shared" si="0"/>
        <v>86683789</v>
      </c>
      <c r="CT12" s="94">
        <v>21896446</v>
      </c>
      <c r="CU12" s="95">
        <v>21043469</v>
      </c>
      <c r="CV12" s="95">
        <v>44016598</v>
      </c>
      <c r="CW12" s="96">
        <v>32093981</v>
      </c>
      <c r="CX12" s="37">
        <f t="shared" si="3"/>
        <v>62722669</v>
      </c>
      <c r="CY12" s="37">
        <f t="shared" si="1"/>
        <v>50987084</v>
      </c>
      <c r="CZ12" s="37">
        <f t="shared" si="1"/>
        <v>160672742</v>
      </c>
      <c r="DA12" s="37">
        <f t="shared" si="1"/>
        <v>118777770</v>
      </c>
    </row>
    <row r="13" spans="1:105" x14ac:dyDescent="0.3">
      <c r="A13" s="31" t="s">
        <v>16</v>
      </c>
      <c r="B13" s="33"/>
      <c r="C13" s="33"/>
      <c r="D13" s="33"/>
      <c r="E13" s="33"/>
      <c r="F13" s="43"/>
      <c r="G13" s="43"/>
      <c r="H13" s="43"/>
      <c r="I13" s="43"/>
      <c r="J13" s="43"/>
      <c r="K13" s="43"/>
      <c r="L13" s="43"/>
      <c r="M13" s="44"/>
      <c r="N13" s="45"/>
      <c r="O13" s="43"/>
      <c r="P13" s="43"/>
      <c r="Q13" s="44"/>
      <c r="R13" s="7"/>
      <c r="S13" s="8"/>
      <c r="T13" s="8"/>
      <c r="U13" s="9"/>
      <c r="V13" s="46"/>
      <c r="W13" s="8"/>
      <c r="X13" s="8"/>
      <c r="Y13" s="9"/>
      <c r="Z13" s="47"/>
      <c r="AA13" s="43"/>
      <c r="AB13" s="43"/>
      <c r="AC13" s="48"/>
      <c r="AD13" s="47"/>
      <c r="AE13" s="43"/>
      <c r="AF13" s="43"/>
      <c r="AG13" s="48"/>
      <c r="AH13" s="47"/>
      <c r="AI13" s="43"/>
      <c r="AJ13" s="43"/>
      <c r="AK13" s="48"/>
      <c r="AL13" s="47"/>
      <c r="AM13" s="43">
        <v>0</v>
      </c>
      <c r="AN13" s="43"/>
      <c r="AO13" s="48"/>
      <c r="AP13" s="47"/>
      <c r="AQ13" s="75"/>
      <c r="AR13" s="43"/>
      <c r="AS13" s="48"/>
      <c r="AT13" s="46"/>
      <c r="AU13" s="8"/>
      <c r="AV13" s="8"/>
      <c r="AW13" s="9"/>
      <c r="AX13" s="47"/>
      <c r="AY13" s="43"/>
      <c r="AZ13" s="43"/>
      <c r="BA13" s="48"/>
      <c r="BB13" s="47"/>
      <c r="BC13" s="43"/>
      <c r="BD13" s="43"/>
      <c r="BE13" s="48"/>
      <c r="BF13" s="47"/>
      <c r="BG13" s="43"/>
      <c r="BH13" s="43"/>
      <c r="BI13" s="48"/>
      <c r="BJ13" s="47"/>
      <c r="BK13" s="43"/>
      <c r="BL13" s="43"/>
      <c r="BM13" s="48"/>
      <c r="BN13" s="47"/>
      <c r="BO13" s="43"/>
      <c r="BP13" s="43"/>
      <c r="BQ13" s="48"/>
      <c r="BR13" s="47"/>
      <c r="BS13" s="43"/>
      <c r="BT13" s="43"/>
      <c r="BU13" s="48"/>
      <c r="BV13" s="53"/>
      <c r="BW13" s="8"/>
      <c r="BX13" s="8"/>
      <c r="BY13" s="9"/>
      <c r="BZ13" s="63" t="s">
        <v>19</v>
      </c>
      <c r="CA13" s="64" t="s">
        <v>19</v>
      </c>
      <c r="CB13" s="64"/>
      <c r="CC13" s="65"/>
      <c r="CD13" s="54"/>
      <c r="CE13" s="55"/>
      <c r="CF13" s="55"/>
      <c r="CG13" s="56"/>
      <c r="CH13" s="57"/>
      <c r="CI13" s="58"/>
      <c r="CJ13" s="58"/>
      <c r="CK13" s="59"/>
      <c r="CL13" s="47"/>
      <c r="CM13" s="43"/>
      <c r="CN13" s="43"/>
      <c r="CO13" s="48"/>
      <c r="CP13" s="37"/>
      <c r="CQ13" s="37"/>
      <c r="CR13" s="37"/>
      <c r="CS13" s="37"/>
      <c r="CT13" s="57"/>
      <c r="CU13" s="58"/>
      <c r="CV13" s="58"/>
      <c r="CW13" s="59"/>
      <c r="CX13" s="37">
        <f t="shared" si="3"/>
        <v>0</v>
      </c>
      <c r="CY13" s="37">
        <f t="shared" si="1"/>
        <v>0</v>
      </c>
      <c r="CZ13" s="37">
        <f t="shared" si="1"/>
        <v>0</v>
      </c>
      <c r="DA13" s="37">
        <f t="shared" si="1"/>
        <v>0</v>
      </c>
    </row>
    <row r="14" spans="1:105" s="97" customFormat="1" ht="15" thickBot="1" x14ac:dyDescent="0.35">
      <c r="A14" s="24" t="s">
        <v>17</v>
      </c>
      <c r="B14" s="76">
        <v>739657</v>
      </c>
      <c r="C14" s="76">
        <v>815222</v>
      </c>
      <c r="D14" s="76">
        <v>2019382</v>
      </c>
      <c r="E14" s="76">
        <v>1949145</v>
      </c>
      <c r="F14" s="77">
        <v>32056</v>
      </c>
      <c r="G14" s="77">
        <v>22114</v>
      </c>
      <c r="H14" s="77">
        <v>88135</v>
      </c>
      <c r="I14" s="77">
        <v>24851</v>
      </c>
      <c r="J14" s="77">
        <v>57498</v>
      </c>
      <c r="K14" s="77">
        <v>56723</v>
      </c>
      <c r="L14" s="77">
        <v>338405</v>
      </c>
      <c r="M14" s="78">
        <v>243640</v>
      </c>
      <c r="N14" s="98">
        <v>7764873</v>
      </c>
      <c r="O14" s="99">
        <v>8568125</v>
      </c>
      <c r="P14" s="99">
        <v>23767032</v>
      </c>
      <c r="Q14" s="100">
        <v>24782082</v>
      </c>
      <c r="R14" s="101">
        <v>27471</v>
      </c>
      <c r="S14" s="102">
        <v>22156</v>
      </c>
      <c r="T14" s="102">
        <v>59039</v>
      </c>
      <c r="U14" s="103">
        <v>43929</v>
      </c>
      <c r="V14" s="104">
        <v>167378</v>
      </c>
      <c r="W14" s="102">
        <v>87281</v>
      </c>
      <c r="X14" s="102">
        <v>2029746</v>
      </c>
      <c r="Y14" s="103">
        <v>1326831</v>
      </c>
      <c r="Z14" s="105">
        <v>4857827</v>
      </c>
      <c r="AA14" s="99">
        <v>4086168</v>
      </c>
      <c r="AB14" s="99">
        <v>15068713</v>
      </c>
      <c r="AC14" s="106">
        <v>13587671</v>
      </c>
      <c r="AD14" s="105">
        <v>24041</v>
      </c>
      <c r="AE14" s="99">
        <v>27050</v>
      </c>
      <c r="AF14" s="99">
        <v>93129</v>
      </c>
      <c r="AG14" s="106">
        <v>163584</v>
      </c>
      <c r="AH14" s="105">
        <v>398648</v>
      </c>
      <c r="AI14" s="99">
        <v>297286</v>
      </c>
      <c r="AJ14" s="99">
        <v>1221349</v>
      </c>
      <c r="AK14" s="106">
        <v>1488491</v>
      </c>
      <c r="AL14" s="105">
        <v>180600</v>
      </c>
      <c r="AM14" s="99">
        <v>134402</v>
      </c>
      <c r="AN14" s="99">
        <v>460903</v>
      </c>
      <c r="AO14" s="106">
        <v>450523</v>
      </c>
      <c r="AP14" s="105">
        <v>12978994</v>
      </c>
      <c r="AQ14" s="86">
        <v>8418155</v>
      </c>
      <c r="AR14" s="99">
        <v>34153567</v>
      </c>
      <c r="AS14" s="106">
        <v>19730698</v>
      </c>
      <c r="AT14" s="104">
        <v>5712805</v>
      </c>
      <c r="AU14" s="102">
        <v>718909</v>
      </c>
      <c r="AV14" s="8">
        <v>13980331</v>
      </c>
      <c r="AW14" s="103">
        <v>2383852</v>
      </c>
      <c r="AX14" s="105">
        <v>52870</v>
      </c>
      <c r="AY14" s="99">
        <v>41020</v>
      </c>
      <c r="AZ14" s="99">
        <v>156808</v>
      </c>
      <c r="BA14" s="106">
        <v>84849</v>
      </c>
      <c r="BB14" s="105">
        <v>968773</v>
      </c>
      <c r="BC14" s="99">
        <v>742949</v>
      </c>
      <c r="BD14" s="99">
        <v>1613787</v>
      </c>
      <c r="BE14" s="106">
        <v>3393520</v>
      </c>
      <c r="BF14" s="105">
        <v>3058545</v>
      </c>
      <c r="BG14" s="99">
        <v>2126641</v>
      </c>
      <c r="BH14" s="99">
        <v>8942368</v>
      </c>
      <c r="BI14" s="106">
        <v>5663309</v>
      </c>
      <c r="BJ14" s="107">
        <v>1196190</v>
      </c>
      <c r="BK14" s="107">
        <v>450551</v>
      </c>
      <c r="BL14" s="99">
        <v>2937976</v>
      </c>
      <c r="BM14" s="106">
        <v>1859219</v>
      </c>
      <c r="BN14" s="105">
        <v>140799</v>
      </c>
      <c r="BO14" s="99">
        <v>100276</v>
      </c>
      <c r="BP14" s="99">
        <v>595189</v>
      </c>
      <c r="BQ14" s="106">
        <v>403477</v>
      </c>
      <c r="BR14" s="105">
        <v>488008</v>
      </c>
      <c r="BS14" s="99">
        <v>170207</v>
      </c>
      <c r="BT14" s="99">
        <v>2891966</v>
      </c>
      <c r="BU14" s="106">
        <v>970880</v>
      </c>
      <c r="BV14" s="108"/>
      <c r="BW14" s="102"/>
      <c r="BX14" s="102"/>
      <c r="BY14" s="103"/>
      <c r="BZ14" s="109">
        <v>888118</v>
      </c>
      <c r="CA14" s="110">
        <v>1659780</v>
      </c>
      <c r="CB14" s="110">
        <v>2512470</v>
      </c>
      <c r="CC14" s="111">
        <v>2919027</v>
      </c>
      <c r="CD14" s="112">
        <v>930599</v>
      </c>
      <c r="CE14" s="113">
        <v>1307596</v>
      </c>
      <c r="CF14" s="113">
        <v>3302853</v>
      </c>
      <c r="CG14" s="114">
        <v>4833808</v>
      </c>
      <c r="CH14" s="115">
        <v>101647</v>
      </c>
      <c r="CI14" s="116">
        <v>67395</v>
      </c>
      <c r="CJ14" s="116">
        <v>304255</v>
      </c>
      <c r="CK14" s="117">
        <v>283553</v>
      </c>
      <c r="CL14" s="105">
        <v>58826</v>
      </c>
      <c r="CM14" s="99">
        <v>23609</v>
      </c>
      <c r="CN14" s="99">
        <v>118741</v>
      </c>
      <c r="CO14" s="106">
        <v>96850</v>
      </c>
      <c r="CP14" s="37">
        <f t="shared" si="2"/>
        <v>40826223</v>
      </c>
      <c r="CQ14" s="37">
        <f t="shared" si="0"/>
        <v>29943615</v>
      </c>
      <c r="CR14" s="37">
        <f t="shared" si="0"/>
        <v>116656144</v>
      </c>
      <c r="CS14" s="37">
        <f t="shared" si="0"/>
        <v>86683789</v>
      </c>
      <c r="CT14" s="115">
        <v>21896446</v>
      </c>
      <c r="CU14" s="116">
        <v>21043469</v>
      </c>
      <c r="CV14" s="116">
        <v>44016598</v>
      </c>
      <c r="CW14" s="117">
        <v>32093981</v>
      </c>
      <c r="CX14" s="37">
        <f t="shared" si="3"/>
        <v>62722669</v>
      </c>
      <c r="CY14" s="37">
        <f t="shared" si="1"/>
        <v>50987084</v>
      </c>
      <c r="CZ14" s="37">
        <f t="shared" si="1"/>
        <v>160672742</v>
      </c>
      <c r="DA14" s="37">
        <f t="shared" si="1"/>
        <v>118777770</v>
      </c>
    </row>
    <row r="15" spans="1:105" x14ac:dyDescent="0.3">
      <c r="A15" s="64"/>
      <c r="B15" s="118"/>
      <c r="C15" s="118"/>
      <c r="D15" s="118"/>
      <c r="E15" s="118"/>
      <c r="F15" s="13"/>
      <c r="G15" s="13"/>
      <c r="H15" s="13"/>
      <c r="I15" s="13"/>
      <c r="J15" s="13"/>
      <c r="K15" s="13"/>
      <c r="L15" s="13"/>
      <c r="M15" s="13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07"/>
      <c r="AE15" s="107"/>
      <c r="AF15" s="107"/>
      <c r="AG15" s="107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20"/>
      <c r="AY15" s="120"/>
      <c r="AZ15" s="120"/>
      <c r="BA15" s="120"/>
      <c r="BB15" s="119"/>
      <c r="BC15" s="119"/>
      <c r="BD15" s="119"/>
      <c r="BE15" s="119"/>
      <c r="BF15" s="121"/>
      <c r="BG15" s="121"/>
      <c r="BH15" s="121"/>
      <c r="BI15" s="121"/>
      <c r="BJ15" s="107"/>
      <c r="BK15" s="107"/>
      <c r="BL15" s="107"/>
      <c r="BM15" s="107"/>
      <c r="BN15" s="119"/>
      <c r="BO15" s="119"/>
      <c r="BP15" s="119"/>
      <c r="BQ15" s="119"/>
      <c r="BR15" s="119"/>
      <c r="BS15" s="119"/>
      <c r="BT15" s="119"/>
      <c r="BU15" s="119"/>
      <c r="BV15" s="122"/>
      <c r="BW15" s="123"/>
      <c r="BX15" s="123"/>
      <c r="BY15" s="123"/>
      <c r="BZ15" s="124"/>
      <c r="CA15" s="124"/>
      <c r="CB15" s="124"/>
      <c r="CC15" s="124"/>
      <c r="CD15" s="125"/>
      <c r="CE15" s="125"/>
      <c r="CF15" s="125"/>
      <c r="CG15" s="125"/>
      <c r="CH15" s="126"/>
      <c r="CI15" s="126"/>
      <c r="CJ15" s="126"/>
      <c r="CK15" s="126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19"/>
  <sheetViews>
    <sheetView workbookViewId="0">
      <pane xSplit="1" topLeftCell="B1" activePane="topRight" state="frozen"/>
      <selection pane="topRight" sqref="A1:XFD1048576"/>
    </sheetView>
  </sheetViews>
  <sheetFormatPr defaultRowHeight="16.5" x14ac:dyDescent="0.3"/>
  <cols>
    <col min="1" max="1" width="20" style="211" bestFit="1" customWidth="1"/>
    <col min="2" max="3" width="11.42578125" style="211" bestFit="1" customWidth="1"/>
    <col min="4" max="5" width="12.42578125" style="211" bestFit="1" customWidth="1"/>
    <col min="6" max="7" width="11.42578125" style="211" bestFit="1" customWidth="1"/>
    <col min="8" max="9" width="12.42578125" style="211" bestFit="1" customWidth="1"/>
    <col min="10" max="11" width="11.42578125" style="211" bestFit="1" customWidth="1"/>
    <col min="12" max="13" width="12.42578125" style="211" bestFit="1" customWidth="1"/>
    <col min="14" max="15" width="11.42578125" style="211" bestFit="1" customWidth="1"/>
    <col min="16" max="17" width="12.42578125" style="211" bestFit="1" customWidth="1"/>
    <col min="18" max="19" width="11.42578125" style="211" bestFit="1" customWidth="1"/>
    <col min="20" max="21" width="12.42578125" style="211" bestFit="1" customWidth="1"/>
    <col min="22" max="23" width="11.42578125" style="211" bestFit="1" customWidth="1"/>
    <col min="24" max="25" width="12.42578125" style="211" bestFit="1" customWidth="1"/>
    <col min="26" max="27" width="11.42578125" style="211" bestFit="1" customWidth="1"/>
    <col min="28" max="29" width="12.42578125" style="211" bestFit="1" customWidth="1"/>
    <col min="30" max="31" width="11.42578125" style="211" bestFit="1" customWidth="1"/>
    <col min="32" max="33" width="12.42578125" style="211" bestFit="1" customWidth="1"/>
    <col min="34" max="35" width="11.42578125" style="211" bestFit="1" customWidth="1"/>
    <col min="36" max="37" width="12.42578125" style="211" bestFit="1" customWidth="1"/>
    <col min="38" max="39" width="11.42578125" style="211" bestFit="1" customWidth="1"/>
    <col min="40" max="41" width="12.42578125" style="211" bestFit="1" customWidth="1"/>
    <col min="42" max="43" width="11.42578125" style="211" bestFit="1" customWidth="1"/>
    <col min="44" max="45" width="12.42578125" style="211" bestFit="1" customWidth="1"/>
    <col min="46" max="47" width="11.42578125" style="211" bestFit="1" customWidth="1"/>
    <col min="48" max="49" width="12.42578125" style="211" bestFit="1" customWidth="1"/>
    <col min="50" max="51" width="11.42578125" style="211" bestFit="1" customWidth="1"/>
    <col min="52" max="53" width="12.42578125" style="211" bestFit="1" customWidth="1"/>
    <col min="54" max="55" width="11.42578125" style="211" bestFit="1" customWidth="1"/>
    <col min="56" max="57" width="12.42578125" style="211" bestFit="1" customWidth="1"/>
    <col min="58" max="59" width="11.42578125" style="211" bestFit="1" customWidth="1"/>
    <col min="60" max="61" width="12.42578125" style="211" bestFit="1" customWidth="1"/>
    <col min="62" max="63" width="11.42578125" style="211" bestFit="1" customWidth="1"/>
    <col min="64" max="65" width="12.42578125" style="211" bestFit="1" customWidth="1"/>
    <col min="66" max="67" width="11.42578125" style="211" bestFit="1" customWidth="1"/>
    <col min="68" max="69" width="12.42578125" style="211" bestFit="1" customWidth="1"/>
    <col min="70" max="71" width="11.42578125" style="211" bestFit="1" customWidth="1"/>
    <col min="72" max="73" width="12.42578125" style="211" bestFit="1" customWidth="1"/>
    <col min="74" max="75" width="11.42578125" style="211" bestFit="1" customWidth="1"/>
    <col min="76" max="77" width="12.42578125" style="211" bestFit="1" customWidth="1"/>
    <col min="78" max="79" width="11.42578125" style="211" bestFit="1" customWidth="1"/>
    <col min="80" max="81" width="12.42578125" style="211" bestFit="1" customWidth="1"/>
    <col min="82" max="83" width="11.42578125" style="211" bestFit="1" customWidth="1"/>
    <col min="84" max="85" width="12.42578125" style="211" bestFit="1" customWidth="1"/>
    <col min="86" max="87" width="11.42578125" style="211" bestFit="1" customWidth="1"/>
    <col min="88" max="89" width="12.42578125" style="211" bestFit="1" customWidth="1"/>
    <col min="90" max="91" width="11.42578125" style="211" bestFit="1" customWidth="1"/>
    <col min="92" max="93" width="12.42578125" style="211" bestFit="1" customWidth="1"/>
    <col min="94" max="95" width="11.42578125" style="211" bestFit="1" customWidth="1"/>
    <col min="96" max="97" width="12.42578125" style="211" bestFit="1" customWidth="1"/>
    <col min="98" max="99" width="11.42578125" style="211" bestFit="1" customWidth="1"/>
    <col min="100" max="101" width="12.42578125" style="211" bestFit="1" customWidth="1"/>
    <col min="102" max="103" width="11.42578125" style="211" bestFit="1" customWidth="1"/>
    <col min="104" max="105" width="12.42578125" style="211" bestFit="1" customWidth="1"/>
    <col min="106" max="16384" width="9.140625" style="211"/>
  </cols>
  <sheetData>
    <row r="1" spans="1:105" ht="18" x14ac:dyDescent="0.35">
      <c r="A1" s="1378" t="s">
        <v>27</v>
      </c>
      <c r="B1" s="1378"/>
      <c r="C1" s="1378"/>
      <c r="D1" s="1378"/>
      <c r="E1" s="1378"/>
      <c r="F1" s="1378"/>
      <c r="G1" s="1378"/>
      <c r="H1" s="1378"/>
      <c r="I1" s="1378"/>
      <c r="J1" s="1378"/>
      <c r="K1" s="1378"/>
      <c r="L1" s="1378"/>
      <c r="M1" s="1378"/>
      <c r="N1" s="1378"/>
      <c r="O1" s="1378"/>
      <c r="P1" s="1378"/>
      <c r="Q1" s="1378"/>
      <c r="R1" s="1378"/>
      <c r="S1" s="1378"/>
      <c r="T1" s="1378"/>
      <c r="U1" s="1378"/>
      <c r="V1" s="1378"/>
      <c r="W1" s="1378"/>
      <c r="X1" s="1378"/>
      <c r="Y1" s="1378"/>
      <c r="Z1" s="1378"/>
      <c r="AA1" s="1378"/>
      <c r="AB1" s="1378"/>
      <c r="AC1" s="1378"/>
      <c r="AD1" s="1378"/>
      <c r="AE1" s="1378"/>
      <c r="AF1" s="1378"/>
      <c r="AG1" s="1378"/>
      <c r="AH1" s="1378"/>
      <c r="AI1" s="1378"/>
      <c r="AJ1" s="1378"/>
      <c r="AK1" s="1378"/>
      <c r="AL1" s="1378"/>
      <c r="AM1" s="1378"/>
      <c r="AN1" s="1378"/>
      <c r="AO1" s="1378"/>
      <c r="AP1" s="1378"/>
      <c r="AQ1" s="1378"/>
      <c r="AR1" s="1378"/>
      <c r="AS1" s="1378"/>
      <c r="AT1" s="1378"/>
      <c r="AU1" s="1378"/>
      <c r="AV1" s="1378"/>
      <c r="AW1" s="1378"/>
      <c r="AX1" s="1378"/>
      <c r="AY1" s="1378"/>
      <c r="AZ1" s="1378"/>
      <c r="BA1" s="1378"/>
      <c r="BB1" s="1378"/>
      <c r="BC1" s="1378"/>
      <c r="BD1" s="1378"/>
      <c r="BE1" s="1378"/>
      <c r="BF1" s="1378"/>
      <c r="BG1" s="1378"/>
      <c r="BH1" s="1378"/>
      <c r="BI1" s="1378"/>
      <c r="BJ1" s="1378"/>
      <c r="BK1" s="1378"/>
      <c r="BL1" s="1378"/>
      <c r="BM1" s="1378"/>
      <c r="BN1" s="1378"/>
      <c r="BO1" s="1378"/>
      <c r="BP1" s="1378"/>
      <c r="BQ1" s="1378"/>
      <c r="BR1" s="1378"/>
      <c r="BS1" s="1378"/>
      <c r="BT1" s="1378"/>
      <c r="BU1" s="1378"/>
      <c r="BV1" s="1378"/>
      <c r="BW1" s="1378"/>
      <c r="BX1" s="1378"/>
      <c r="BY1" s="1378"/>
      <c r="BZ1" s="1378"/>
      <c r="CA1" s="1378"/>
      <c r="CB1" s="1378"/>
      <c r="CC1" s="1378"/>
      <c r="CD1" s="1378"/>
      <c r="CE1" s="1378"/>
      <c r="CF1" s="1378"/>
      <c r="CG1" s="1378"/>
      <c r="CH1" s="1378"/>
      <c r="CI1" s="1378"/>
      <c r="CJ1" s="1378"/>
      <c r="CK1" s="1378"/>
      <c r="CL1" s="1378"/>
      <c r="CM1" s="1378"/>
      <c r="CN1" s="1378"/>
      <c r="CO1" s="1378"/>
      <c r="CP1" s="1378"/>
      <c r="CQ1" s="1378"/>
      <c r="CR1" s="1378"/>
      <c r="CS1" s="1378"/>
      <c r="CT1" s="1378"/>
      <c r="CU1" s="1378"/>
      <c r="CV1" s="1378"/>
      <c r="CW1" s="1378"/>
      <c r="CX1" s="1378"/>
      <c r="CY1" s="1378"/>
    </row>
    <row r="2" spans="1:105" ht="17.25" thickBot="1" x14ac:dyDescent="0.35">
      <c r="A2" s="1379" t="s">
        <v>256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379"/>
      <c r="M2" s="1379"/>
      <c r="N2" s="1379"/>
      <c r="O2" s="1379"/>
      <c r="P2" s="1379"/>
      <c r="Q2" s="1379"/>
      <c r="R2" s="1379"/>
      <c r="S2" s="1379"/>
      <c r="T2" s="1379"/>
      <c r="U2" s="1379"/>
      <c r="V2" s="1379"/>
      <c r="W2" s="1379"/>
      <c r="X2" s="1379"/>
      <c r="Y2" s="1379"/>
      <c r="Z2" s="1379"/>
      <c r="AA2" s="1379"/>
      <c r="AB2" s="1379"/>
      <c r="AC2" s="1379"/>
      <c r="AD2" s="1379"/>
      <c r="AE2" s="1379"/>
      <c r="AF2" s="1379"/>
      <c r="AG2" s="1379"/>
      <c r="AH2" s="1379"/>
      <c r="AI2" s="1379"/>
      <c r="AJ2" s="1379"/>
      <c r="AK2" s="1379"/>
      <c r="AL2" s="1379"/>
      <c r="AM2" s="1379"/>
      <c r="AN2" s="1379"/>
      <c r="AO2" s="1379"/>
      <c r="AP2" s="1379"/>
      <c r="AQ2" s="1379"/>
      <c r="AR2" s="1379"/>
      <c r="AS2" s="1379"/>
      <c r="AT2" s="1379"/>
      <c r="AU2" s="1379"/>
      <c r="AV2" s="1379"/>
      <c r="AW2" s="1379"/>
      <c r="AX2" s="1379"/>
      <c r="AY2" s="1379"/>
      <c r="AZ2" s="1379"/>
      <c r="BA2" s="1379"/>
      <c r="BB2" s="1379"/>
      <c r="BC2" s="1379"/>
      <c r="BD2" s="1379"/>
      <c r="BE2" s="1379"/>
      <c r="BF2" s="1379"/>
      <c r="BG2" s="1379"/>
      <c r="BH2" s="1379"/>
      <c r="BI2" s="1379"/>
      <c r="BJ2" s="1379"/>
      <c r="BK2" s="1379"/>
      <c r="BL2" s="1379"/>
      <c r="BM2" s="1379"/>
      <c r="BN2" s="1379"/>
      <c r="BO2" s="1379"/>
      <c r="BP2" s="1379"/>
      <c r="BQ2" s="1379"/>
      <c r="BR2" s="1379"/>
      <c r="BS2" s="1379"/>
      <c r="BT2" s="1379"/>
      <c r="BU2" s="1379"/>
      <c r="BV2" s="1379"/>
      <c r="BW2" s="1379"/>
      <c r="BX2" s="1379"/>
      <c r="BY2" s="1379"/>
      <c r="BZ2" s="1379"/>
      <c r="CA2" s="1379"/>
      <c r="CB2" s="1379"/>
      <c r="CC2" s="1379"/>
      <c r="CD2" s="1379"/>
      <c r="CE2" s="1379"/>
      <c r="CF2" s="1379"/>
      <c r="CG2" s="1379"/>
      <c r="CH2" s="1379"/>
      <c r="CI2" s="1379"/>
      <c r="CJ2" s="1379"/>
      <c r="CK2" s="1379"/>
      <c r="CL2" s="1379"/>
      <c r="CM2" s="1379"/>
      <c r="CN2" s="1379"/>
      <c r="CO2" s="1379"/>
      <c r="CP2" s="1379"/>
      <c r="CQ2" s="1379"/>
      <c r="CR2" s="1379"/>
      <c r="CS2" s="1379"/>
      <c r="CT2" s="1379"/>
      <c r="CU2" s="1379"/>
      <c r="CV2" s="1379"/>
      <c r="CW2" s="1379"/>
      <c r="CX2" s="1379"/>
      <c r="CY2" s="1379"/>
    </row>
    <row r="3" spans="1:105" ht="17.25" customHeight="1" thickBot="1" x14ac:dyDescent="0.35">
      <c r="A3" s="1484" t="s">
        <v>20</v>
      </c>
      <c r="B3" s="1486" t="s">
        <v>258</v>
      </c>
      <c r="C3" s="1487"/>
      <c r="D3" s="1487"/>
      <c r="E3" s="1487"/>
      <c r="F3" s="1486" t="s">
        <v>259</v>
      </c>
      <c r="G3" s="1487"/>
      <c r="H3" s="1487"/>
      <c r="I3" s="1488"/>
      <c r="J3" s="1486" t="s">
        <v>260</v>
      </c>
      <c r="K3" s="1487"/>
      <c r="L3" s="1487"/>
      <c r="M3" s="1487"/>
      <c r="N3" s="1489" t="s">
        <v>261</v>
      </c>
      <c r="O3" s="1490"/>
      <c r="P3" s="1490"/>
      <c r="Q3" s="1490"/>
      <c r="R3" s="1489" t="s">
        <v>262</v>
      </c>
      <c r="S3" s="1490"/>
      <c r="T3" s="1490"/>
      <c r="U3" s="1491"/>
      <c r="V3" s="1489" t="s">
        <v>263</v>
      </c>
      <c r="W3" s="1490"/>
      <c r="X3" s="1490"/>
      <c r="Y3" s="1490"/>
      <c r="Z3" s="1489" t="s">
        <v>264</v>
      </c>
      <c r="AA3" s="1490"/>
      <c r="AB3" s="1490"/>
      <c r="AC3" s="1491"/>
      <c r="AD3" s="1489" t="s">
        <v>265</v>
      </c>
      <c r="AE3" s="1490"/>
      <c r="AF3" s="1490"/>
      <c r="AG3" s="1491"/>
      <c r="AH3" s="1490" t="s">
        <v>266</v>
      </c>
      <c r="AI3" s="1490"/>
      <c r="AJ3" s="1490"/>
      <c r="AK3" s="1491"/>
      <c r="AL3" s="1490" t="s">
        <v>267</v>
      </c>
      <c r="AM3" s="1490"/>
      <c r="AN3" s="1490"/>
      <c r="AO3" s="1491"/>
      <c r="AP3" s="1490" t="s">
        <v>268</v>
      </c>
      <c r="AQ3" s="1490"/>
      <c r="AR3" s="1490"/>
      <c r="AS3" s="1491"/>
      <c r="AT3" s="1490" t="s">
        <v>269</v>
      </c>
      <c r="AU3" s="1490"/>
      <c r="AV3" s="1490"/>
      <c r="AW3" s="1491"/>
      <c r="AX3" s="1490" t="s">
        <v>270</v>
      </c>
      <c r="AY3" s="1490"/>
      <c r="AZ3" s="1490"/>
      <c r="BA3" s="1491"/>
      <c r="BB3" s="1490" t="s">
        <v>271</v>
      </c>
      <c r="BC3" s="1490"/>
      <c r="BD3" s="1490"/>
      <c r="BE3" s="1491"/>
      <c r="BF3" s="1494" t="s">
        <v>272</v>
      </c>
      <c r="BG3" s="1495"/>
      <c r="BH3" s="1495"/>
      <c r="BI3" s="1496"/>
      <c r="BJ3" s="1497" t="s">
        <v>273</v>
      </c>
      <c r="BK3" s="1498"/>
      <c r="BL3" s="1498"/>
      <c r="BM3" s="1499"/>
      <c r="BN3" s="1497" t="s">
        <v>274</v>
      </c>
      <c r="BO3" s="1498"/>
      <c r="BP3" s="1498"/>
      <c r="BQ3" s="1499"/>
      <c r="BR3" s="1497" t="s">
        <v>275</v>
      </c>
      <c r="BS3" s="1498"/>
      <c r="BT3" s="1498"/>
      <c r="BU3" s="1499"/>
      <c r="BV3" s="1492" t="s">
        <v>276</v>
      </c>
      <c r="BW3" s="1492"/>
      <c r="BX3" s="1492"/>
      <c r="BY3" s="1493"/>
      <c r="BZ3" s="1490" t="s">
        <v>277</v>
      </c>
      <c r="CA3" s="1490"/>
      <c r="CB3" s="1490"/>
      <c r="CC3" s="1491"/>
      <c r="CD3" s="1489" t="s">
        <v>278</v>
      </c>
      <c r="CE3" s="1490"/>
      <c r="CF3" s="1490"/>
      <c r="CG3" s="1491"/>
      <c r="CH3" s="1497" t="s">
        <v>279</v>
      </c>
      <c r="CI3" s="1498"/>
      <c r="CJ3" s="1498"/>
      <c r="CK3" s="1499"/>
      <c r="CL3" s="1497" t="s">
        <v>280</v>
      </c>
      <c r="CM3" s="1498"/>
      <c r="CN3" s="1498"/>
      <c r="CO3" s="1499"/>
      <c r="CP3" s="1369" t="s">
        <v>2</v>
      </c>
      <c r="CQ3" s="1370"/>
      <c r="CR3" s="1370"/>
      <c r="CS3" s="1371"/>
      <c r="CT3" s="1375" t="s">
        <v>281</v>
      </c>
      <c r="CU3" s="1376"/>
      <c r="CV3" s="1376"/>
      <c r="CW3" s="1377"/>
      <c r="CX3" s="1375" t="s">
        <v>3</v>
      </c>
      <c r="CY3" s="1376"/>
      <c r="CZ3" s="1376"/>
      <c r="DA3" s="1377"/>
    </row>
    <row r="4" spans="1:105" ht="17.25" thickBot="1" x14ac:dyDescent="0.35">
      <c r="A4" s="1485"/>
      <c r="B4" s="212" t="s">
        <v>4</v>
      </c>
      <c r="C4" s="213" t="s">
        <v>5</v>
      </c>
      <c r="D4" s="213" t="s">
        <v>6</v>
      </c>
      <c r="E4" s="213" t="s">
        <v>7</v>
      </c>
      <c r="F4" s="212" t="s">
        <v>4</v>
      </c>
      <c r="G4" s="213" t="s">
        <v>5</v>
      </c>
      <c r="H4" s="213" t="s">
        <v>6</v>
      </c>
      <c r="I4" s="213" t="s">
        <v>7</v>
      </c>
      <c r="J4" s="213" t="s">
        <v>4</v>
      </c>
      <c r="K4" s="213" t="s">
        <v>5</v>
      </c>
      <c r="L4" s="213" t="s">
        <v>6</v>
      </c>
      <c r="M4" s="213" t="s">
        <v>7</v>
      </c>
      <c r="N4" s="131" t="s">
        <v>4</v>
      </c>
      <c r="O4" s="132" t="s">
        <v>5</v>
      </c>
      <c r="P4" s="132" t="s">
        <v>6</v>
      </c>
      <c r="Q4" s="133" t="s">
        <v>7</v>
      </c>
      <c r="R4" s="131" t="s">
        <v>4</v>
      </c>
      <c r="S4" s="132" t="s">
        <v>5</v>
      </c>
      <c r="T4" s="132" t="s">
        <v>6</v>
      </c>
      <c r="U4" s="133" t="s">
        <v>7</v>
      </c>
      <c r="V4" s="131" t="s">
        <v>4</v>
      </c>
      <c r="W4" s="132" t="s">
        <v>5</v>
      </c>
      <c r="X4" s="132" t="s">
        <v>6</v>
      </c>
      <c r="Y4" s="133" t="s">
        <v>7</v>
      </c>
      <c r="Z4" s="131" t="s">
        <v>4</v>
      </c>
      <c r="AA4" s="132" t="s">
        <v>5</v>
      </c>
      <c r="AB4" s="132" t="s">
        <v>6</v>
      </c>
      <c r="AC4" s="133" t="s">
        <v>7</v>
      </c>
      <c r="AD4" s="131" t="s">
        <v>4</v>
      </c>
      <c r="AE4" s="132" t="s">
        <v>5</v>
      </c>
      <c r="AF4" s="132" t="s">
        <v>6</v>
      </c>
      <c r="AG4" s="133" t="s">
        <v>7</v>
      </c>
      <c r="AH4" s="131" t="s">
        <v>4</v>
      </c>
      <c r="AI4" s="132" t="s">
        <v>5</v>
      </c>
      <c r="AJ4" s="132" t="s">
        <v>6</v>
      </c>
      <c r="AK4" s="133" t="s">
        <v>7</v>
      </c>
      <c r="AL4" s="131" t="s">
        <v>4</v>
      </c>
      <c r="AM4" s="132" t="s">
        <v>5</v>
      </c>
      <c r="AN4" s="132" t="s">
        <v>6</v>
      </c>
      <c r="AO4" s="133" t="s">
        <v>7</v>
      </c>
      <c r="AP4" s="131" t="s">
        <v>4</v>
      </c>
      <c r="AQ4" s="132" t="s">
        <v>5</v>
      </c>
      <c r="AR4" s="132" t="s">
        <v>6</v>
      </c>
      <c r="AS4" s="133" t="s">
        <v>7</v>
      </c>
      <c r="AT4" s="131" t="s">
        <v>4</v>
      </c>
      <c r="AU4" s="132" t="s">
        <v>5</v>
      </c>
      <c r="AV4" s="132" t="s">
        <v>6</v>
      </c>
      <c r="AW4" s="133" t="s">
        <v>7</v>
      </c>
      <c r="AX4" s="131" t="s">
        <v>4</v>
      </c>
      <c r="AY4" s="132" t="s">
        <v>5</v>
      </c>
      <c r="AZ4" s="132" t="s">
        <v>6</v>
      </c>
      <c r="BA4" s="133" t="s">
        <v>7</v>
      </c>
      <c r="BB4" s="131" t="s">
        <v>4</v>
      </c>
      <c r="BC4" s="132" t="s">
        <v>5</v>
      </c>
      <c r="BD4" s="132" t="s">
        <v>6</v>
      </c>
      <c r="BE4" s="133" t="s">
        <v>7</v>
      </c>
      <c r="BF4" s="131" t="s">
        <v>4</v>
      </c>
      <c r="BG4" s="132" t="s">
        <v>5</v>
      </c>
      <c r="BH4" s="132" t="s">
        <v>6</v>
      </c>
      <c r="BI4" s="133" t="s">
        <v>7</v>
      </c>
      <c r="BJ4" s="131" t="s">
        <v>4</v>
      </c>
      <c r="BK4" s="132" t="s">
        <v>5</v>
      </c>
      <c r="BL4" s="132" t="s">
        <v>6</v>
      </c>
      <c r="BM4" s="133" t="s">
        <v>7</v>
      </c>
      <c r="BN4" s="131" t="s">
        <v>4</v>
      </c>
      <c r="BO4" s="132" t="s">
        <v>5</v>
      </c>
      <c r="BP4" s="132" t="s">
        <v>6</v>
      </c>
      <c r="BQ4" s="133" t="s">
        <v>7</v>
      </c>
      <c r="BR4" s="131" t="s">
        <v>4</v>
      </c>
      <c r="BS4" s="132" t="s">
        <v>5</v>
      </c>
      <c r="BT4" s="132" t="s">
        <v>6</v>
      </c>
      <c r="BU4" s="133" t="s">
        <v>7</v>
      </c>
      <c r="BV4" s="131" t="s">
        <v>4</v>
      </c>
      <c r="BW4" s="132" t="s">
        <v>5</v>
      </c>
      <c r="BX4" s="132" t="s">
        <v>6</v>
      </c>
      <c r="BY4" s="133" t="s">
        <v>7</v>
      </c>
      <c r="BZ4" s="131" t="s">
        <v>4</v>
      </c>
      <c r="CA4" s="132" t="s">
        <v>5</v>
      </c>
      <c r="CB4" s="132" t="s">
        <v>6</v>
      </c>
      <c r="CC4" s="133" t="s">
        <v>7</v>
      </c>
      <c r="CD4" s="131" t="s">
        <v>4</v>
      </c>
      <c r="CE4" s="132" t="s">
        <v>5</v>
      </c>
      <c r="CF4" s="132" t="s">
        <v>6</v>
      </c>
      <c r="CG4" s="133" t="s">
        <v>7</v>
      </c>
      <c r="CH4" s="132" t="s">
        <v>4</v>
      </c>
      <c r="CI4" s="132" t="s">
        <v>5</v>
      </c>
      <c r="CJ4" s="132" t="s">
        <v>6</v>
      </c>
      <c r="CK4" s="133" t="s">
        <v>7</v>
      </c>
      <c r="CL4" s="132" t="s">
        <v>4</v>
      </c>
      <c r="CM4" s="132" t="s">
        <v>5</v>
      </c>
      <c r="CN4" s="132" t="s">
        <v>6</v>
      </c>
      <c r="CO4" s="133" t="s">
        <v>7</v>
      </c>
      <c r="CP4" s="132" t="s">
        <v>4</v>
      </c>
      <c r="CQ4" s="132" t="s">
        <v>5</v>
      </c>
      <c r="CR4" s="132" t="s">
        <v>6</v>
      </c>
      <c r="CS4" s="133" t="s">
        <v>7</v>
      </c>
      <c r="CT4" s="131" t="s">
        <v>4</v>
      </c>
      <c r="CU4" s="132" t="s">
        <v>5</v>
      </c>
      <c r="CV4" s="132" t="s">
        <v>6</v>
      </c>
      <c r="CW4" s="133" t="s">
        <v>7</v>
      </c>
      <c r="CX4" s="131" t="s">
        <v>4</v>
      </c>
      <c r="CY4" s="132" t="s">
        <v>5</v>
      </c>
      <c r="CZ4" s="132" t="s">
        <v>6</v>
      </c>
      <c r="DA4" s="133" t="s">
        <v>7</v>
      </c>
    </row>
    <row r="5" spans="1:105" ht="17.25" x14ac:dyDescent="0.35">
      <c r="A5" s="945" t="s">
        <v>8</v>
      </c>
      <c r="B5" s="944">
        <v>191</v>
      </c>
      <c r="C5" s="214">
        <v>193</v>
      </c>
      <c r="D5" s="214">
        <v>505</v>
      </c>
      <c r="E5" s="215">
        <v>462</v>
      </c>
      <c r="F5" s="216">
        <v>-0.01</v>
      </c>
      <c r="G5" s="217">
        <v>-0.02</v>
      </c>
      <c r="H5" s="217">
        <v>-0.04</v>
      </c>
      <c r="I5" s="217">
        <v>-0.03</v>
      </c>
      <c r="J5" s="217">
        <v>8.3000000000000007</v>
      </c>
      <c r="K5" s="217">
        <v>23.19</v>
      </c>
      <c r="L5" s="217">
        <v>32.659999999999997</v>
      </c>
      <c r="M5" s="218">
        <v>56.76</v>
      </c>
      <c r="N5" s="216">
        <v>304</v>
      </c>
      <c r="O5" s="217">
        <v>299</v>
      </c>
      <c r="P5" s="217">
        <v>781</v>
      </c>
      <c r="Q5" s="218">
        <v>780</v>
      </c>
      <c r="R5" s="216">
        <v>55.33</v>
      </c>
      <c r="S5" s="217">
        <v>45.29</v>
      </c>
      <c r="T5" s="217">
        <v>140</v>
      </c>
      <c r="U5" s="219">
        <v>105</v>
      </c>
      <c r="V5" s="216"/>
      <c r="W5" s="217"/>
      <c r="X5" s="217"/>
      <c r="Y5" s="218"/>
      <c r="Z5" s="216">
        <v>25.36</v>
      </c>
      <c r="AA5" s="217">
        <v>28.16</v>
      </c>
      <c r="AB5" s="217">
        <v>78.27</v>
      </c>
      <c r="AC5" s="219">
        <v>80.33</v>
      </c>
      <c r="AD5" s="7">
        <v>48.68</v>
      </c>
      <c r="AE5" s="220">
        <v>35.1</v>
      </c>
      <c r="AF5" s="220">
        <v>120.95</v>
      </c>
      <c r="AG5" s="221">
        <v>84.86</v>
      </c>
      <c r="AH5" s="46">
        <v>82.15</v>
      </c>
      <c r="AI5" s="8">
        <v>84.33</v>
      </c>
      <c r="AJ5" s="8">
        <v>242.7</v>
      </c>
      <c r="AK5" s="9">
        <v>234.71</v>
      </c>
      <c r="AL5" s="46">
        <v>13.21</v>
      </c>
      <c r="AM5" s="8">
        <v>18.809999999999999</v>
      </c>
      <c r="AN5" s="8">
        <v>41.06</v>
      </c>
      <c r="AO5" s="9">
        <v>44.18</v>
      </c>
      <c r="AP5" s="46">
        <v>231.75</v>
      </c>
      <c r="AQ5" s="8">
        <v>190.91</v>
      </c>
      <c r="AR5" s="8">
        <v>645.85</v>
      </c>
      <c r="AS5" s="9">
        <v>462.77</v>
      </c>
      <c r="AT5" s="46">
        <v>413.2</v>
      </c>
      <c r="AU5" s="8">
        <v>561.5</v>
      </c>
      <c r="AV5" s="8">
        <v>1188.5999999999999</v>
      </c>
      <c r="AW5" s="9">
        <v>1589.8</v>
      </c>
      <c r="AX5" s="222">
        <v>10.6</v>
      </c>
      <c r="AY5" s="10">
        <v>13.21</v>
      </c>
      <c r="AZ5" s="10">
        <v>30.78</v>
      </c>
      <c r="BA5" s="11">
        <v>33.270000000000003</v>
      </c>
      <c r="BB5" s="46">
        <v>3.27</v>
      </c>
      <c r="BC5" s="217">
        <v>2.52</v>
      </c>
      <c r="BD5" s="217">
        <v>9.48</v>
      </c>
      <c r="BE5" s="219">
        <v>7.94</v>
      </c>
      <c r="BF5" s="223">
        <v>186.34</v>
      </c>
      <c r="BG5" s="217">
        <v>161.4</v>
      </c>
      <c r="BH5" s="217">
        <v>451.75</v>
      </c>
      <c r="BI5" s="219">
        <v>403.14</v>
      </c>
      <c r="BJ5" s="223">
        <v>247.53</v>
      </c>
      <c r="BK5" s="217">
        <v>242.55</v>
      </c>
      <c r="BL5" s="217">
        <v>733.71</v>
      </c>
      <c r="BM5" s="219">
        <v>629.41999999999996</v>
      </c>
      <c r="BN5" s="223">
        <v>16.010000000000002</v>
      </c>
      <c r="BO5" s="217">
        <v>15.16</v>
      </c>
      <c r="BP5" s="217">
        <v>41.79</v>
      </c>
      <c r="BQ5" s="219">
        <v>44.34</v>
      </c>
      <c r="BR5" s="223">
        <v>121.13</v>
      </c>
      <c r="BS5" s="217">
        <v>107.95</v>
      </c>
      <c r="BT5" s="217">
        <v>357.37</v>
      </c>
      <c r="BU5" s="219">
        <v>318.14</v>
      </c>
      <c r="BV5" s="224"/>
      <c r="BW5" s="217"/>
      <c r="BX5" s="217"/>
      <c r="BY5" s="219"/>
      <c r="BZ5" s="225">
        <v>785</v>
      </c>
      <c r="CA5" s="226">
        <v>723</v>
      </c>
      <c r="CB5" s="226">
        <v>1895</v>
      </c>
      <c r="CC5" s="227">
        <v>1708</v>
      </c>
      <c r="CD5" s="228">
        <v>9.8000000000000007</v>
      </c>
      <c r="CE5" s="229">
        <v>13.45</v>
      </c>
      <c r="CF5" s="229">
        <v>29.55</v>
      </c>
      <c r="CG5" s="230">
        <v>40.01</v>
      </c>
      <c r="CH5" s="231">
        <v>0.26</v>
      </c>
      <c r="CI5" s="232">
        <v>0.71589999999999998</v>
      </c>
      <c r="CJ5" s="232">
        <v>0.96</v>
      </c>
      <c r="CK5" s="233">
        <v>2.04</v>
      </c>
      <c r="CL5" s="223">
        <v>93.84</v>
      </c>
      <c r="CM5" s="217">
        <v>112.93</v>
      </c>
      <c r="CN5" s="217">
        <v>308.44</v>
      </c>
      <c r="CO5" s="219">
        <v>268.8</v>
      </c>
      <c r="CP5" s="234">
        <f>SUM(B5+F5+J5+N5+R5+V5+Z5+AD5+AH5+AL5+AP5+AT5+AX5+BB5+BF5+BJ5+BN5+BR5+BV5+BZ5+CD5+CH5+CL5)</f>
        <v>2846.7500000000005</v>
      </c>
      <c r="CQ5" s="234">
        <f t="shared" ref="CQ5:CS18" si="0">SUM(C5+G5+K5+O5+S5+W5+AA5+AE5+AI5+AM5+AQ5+AU5+AY5+BC5+BG5+BK5+BO5+BS5+BW5+CA5+CE5+CI5+CM5)</f>
        <v>2872.1559000000002</v>
      </c>
      <c r="CR5" s="234">
        <f t="shared" si="0"/>
        <v>7634.8799999999992</v>
      </c>
      <c r="CS5" s="234">
        <f t="shared" si="0"/>
        <v>7355.4800000000014</v>
      </c>
      <c r="CT5" s="235">
        <v>12482.17</v>
      </c>
      <c r="CU5" s="232">
        <v>14890.27</v>
      </c>
      <c r="CV5" s="232">
        <v>32177.34</v>
      </c>
      <c r="CW5" s="233">
        <v>34927.870000000003</v>
      </c>
      <c r="CX5" s="236">
        <f>CP5+CT5</f>
        <v>15328.92</v>
      </c>
      <c r="CY5" s="236">
        <f t="shared" ref="CY5:DA18" si="1">CQ5+CU5</f>
        <v>17762.425900000002</v>
      </c>
      <c r="CZ5" s="236">
        <f t="shared" si="1"/>
        <v>39812.22</v>
      </c>
      <c r="DA5" s="953">
        <f t="shared" si="1"/>
        <v>42283.350000000006</v>
      </c>
    </row>
    <row r="6" spans="1:105" ht="17.25" x14ac:dyDescent="0.35">
      <c r="A6" s="314" t="s">
        <v>9</v>
      </c>
      <c r="B6" s="944">
        <v>256</v>
      </c>
      <c r="C6" s="214">
        <v>64</v>
      </c>
      <c r="D6" s="214">
        <v>513</v>
      </c>
      <c r="E6" s="215">
        <v>116</v>
      </c>
      <c r="F6" s="216">
        <v>0.04</v>
      </c>
      <c r="G6" s="217">
        <v>0.26</v>
      </c>
      <c r="H6" s="217">
        <v>0.49</v>
      </c>
      <c r="I6" s="217">
        <v>0.65</v>
      </c>
      <c r="J6" s="217">
        <v>5.62</v>
      </c>
      <c r="K6" s="217">
        <v>1.31</v>
      </c>
      <c r="L6" s="217">
        <v>16.78</v>
      </c>
      <c r="M6" s="218">
        <v>6.91</v>
      </c>
      <c r="N6" s="216">
        <v>19</v>
      </c>
      <c r="O6" s="217">
        <v>21</v>
      </c>
      <c r="P6" s="217">
        <v>39</v>
      </c>
      <c r="Q6" s="218">
        <v>48</v>
      </c>
      <c r="R6" s="216">
        <v>0.01</v>
      </c>
      <c r="S6" s="217">
        <v>0.04</v>
      </c>
      <c r="T6" s="217">
        <v>0</v>
      </c>
      <c r="U6" s="219">
        <v>0</v>
      </c>
      <c r="V6" s="216">
        <v>200.27</v>
      </c>
      <c r="W6" s="217">
        <v>202.4</v>
      </c>
      <c r="X6" s="217">
        <v>757.32</v>
      </c>
      <c r="Y6" s="218">
        <v>548.54</v>
      </c>
      <c r="Z6" s="216">
        <v>5.0199999999999996</v>
      </c>
      <c r="AA6" s="217">
        <v>5.0199999999999996</v>
      </c>
      <c r="AB6" s="217">
        <v>12.35</v>
      </c>
      <c r="AC6" s="219">
        <v>9.0299999999999994</v>
      </c>
      <c r="AD6" s="7">
        <v>7.66</v>
      </c>
      <c r="AE6" s="220">
        <v>7.15</v>
      </c>
      <c r="AF6" s="220">
        <v>21.8</v>
      </c>
      <c r="AG6" s="221">
        <v>18.63</v>
      </c>
      <c r="AH6" s="46">
        <v>10.78</v>
      </c>
      <c r="AI6" s="8">
        <v>5.56</v>
      </c>
      <c r="AJ6" s="8">
        <v>30.17</v>
      </c>
      <c r="AK6" s="9">
        <v>16.5</v>
      </c>
      <c r="AL6" s="46">
        <v>17.25</v>
      </c>
      <c r="AM6" s="8">
        <v>3.14</v>
      </c>
      <c r="AN6" s="8">
        <v>43.59</v>
      </c>
      <c r="AO6" s="9">
        <v>7.95</v>
      </c>
      <c r="AP6" s="46">
        <v>916.06</v>
      </c>
      <c r="AQ6" s="8">
        <v>859.08</v>
      </c>
      <c r="AR6" s="8">
        <v>2444.06</v>
      </c>
      <c r="AS6" s="9">
        <v>2074.2399999999998</v>
      </c>
      <c r="AT6" s="46">
        <v>1044.9000000000001</v>
      </c>
      <c r="AU6" s="8">
        <v>1153.5999999999999</v>
      </c>
      <c r="AV6" s="8">
        <v>3069.3</v>
      </c>
      <c r="AW6" s="9">
        <v>3110.3</v>
      </c>
      <c r="AX6" s="222">
        <v>145.5</v>
      </c>
      <c r="AY6" s="10">
        <v>148.74</v>
      </c>
      <c r="AZ6" s="10">
        <v>363.27</v>
      </c>
      <c r="BA6" s="11">
        <v>402.59</v>
      </c>
      <c r="BB6" s="46">
        <v>15.141999999999999</v>
      </c>
      <c r="BC6" s="217">
        <v>135.91</v>
      </c>
      <c r="BD6" s="217">
        <v>388.27</v>
      </c>
      <c r="BE6" s="219">
        <v>362.66</v>
      </c>
      <c r="BF6" s="223">
        <v>251.21</v>
      </c>
      <c r="BG6" s="217">
        <v>237.84</v>
      </c>
      <c r="BH6" s="217">
        <v>565.24</v>
      </c>
      <c r="BI6" s="219">
        <v>556.37</v>
      </c>
      <c r="BJ6" s="223">
        <v>666.03</v>
      </c>
      <c r="BK6" s="217">
        <v>602.21</v>
      </c>
      <c r="BL6" s="217">
        <v>1652.62</v>
      </c>
      <c r="BM6" s="219">
        <v>1426.37</v>
      </c>
      <c r="BN6" s="223">
        <v>220.45</v>
      </c>
      <c r="BO6" s="217">
        <v>215.2</v>
      </c>
      <c r="BP6" s="217">
        <v>576.15</v>
      </c>
      <c r="BQ6" s="219">
        <v>513.71</v>
      </c>
      <c r="BR6" s="223">
        <v>17.010000000000002</v>
      </c>
      <c r="BS6" s="217">
        <v>0.28000000000000003</v>
      </c>
      <c r="BT6" s="217">
        <v>44.34</v>
      </c>
      <c r="BU6" s="219">
        <v>0.57999999999999996</v>
      </c>
      <c r="BV6" s="224"/>
      <c r="BW6" s="217"/>
      <c r="BX6" s="217"/>
      <c r="BY6" s="219"/>
      <c r="BZ6" s="237">
        <v>2061</v>
      </c>
      <c r="CA6" s="238">
        <v>1711</v>
      </c>
      <c r="CB6" s="238">
        <v>4615</v>
      </c>
      <c r="CC6" s="239">
        <v>4014</v>
      </c>
      <c r="CD6" s="228">
        <v>0.64</v>
      </c>
      <c r="CE6" s="229">
        <v>0.11</v>
      </c>
      <c r="CF6" s="229">
        <v>1.33</v>
      </c>
      <c r="CG6" s="230">
        <v>0.11</v>
      </c>
      <c r="CH6" s="231">
        <v>157.4315</v>
      </c>
      <c r="CI6" s="232">
        <v>178.8</v>
      </c>
      <c r="CJ6" s="232">
        <v>374.51740000000001</v>
      </c>
      <c r="CK6" s="233">
        <v>410.52510000000001</v>
      </c>
      <c r="CL6" s="223">
        <v>420.8</v>
      </c>
      <c r="CM6" s="217">
        <v>127.26</v>
      </c>
      <c r="CN6" s="217">
        <v>849.54</v>
      </c>
      <c r="CO6" s="219">
        <v>351.38</v>
      </c>
      <c r="CP6" s="234">
        <f t="shared" ref="CP6:CP18" si="2">SUM(B6+F6+J6+N6+R6+V6+Z6+AD6+AH6+AL6+AP6+AT6+AX6+BB6+BF6+BJ6+BN6+BR6+BV6+BZ6+CD6+CH6+CL6)</f>
        <v>6437.8235000000004</v>
      </c>
      <c r="CQ6" s="234">
        <f t="shared" si="0"/>
        <v>5679.91</v>
      </c>
      <c r="CR6" s="234">
        <f t="shared" si="0"/>
        <v>16378.137400000003</v>
      </c>
      <c r="CS6" s="234">
        <f t="shared" si="0"/>
        <v>13995.045100000001</v>
      </c>
      <c r="CT6" s="235">
        <v>350.8</v>
      </c>
      <c r="CU6" s="232">
        <v>427.08</v>
      </c>
      <c r="CV6" s="232">
        <v>716.94</v>
      </c>
      <c r="CW6" s="233">
        <v>990.52</v>
      </c>
      <c r="CX6" s="236">
        <f t="shared" ref="CX6:CX18" si="3">CP6+CT6</f>
        <v>6788.6235000000006</v>
      </c>
      <c r="CY6" s="236">
        <f t="shared" si="1"/>
        <v>6106.99</v>
      </c>
      <c r="CZ6" s="236">
        <f t="shared" si="1"/>
        <v>17095.077400000002</v>
      </c>
      <c r="DA6" s="953">
        <f t="shared" si="1"/>
        <v>14985.565100000002</v>
      </c>
    </row>
    <row r="7" spans="1:105" ht="17.25" x14ac:dyDescent="0.35">
      <c r="A7" s="314" t="s">
        <v>10</v>
      </c>
      <c r="B7" s="944"/>
      <c r="C7" s="214">
        <v>4</v>
      </c>
      <c r="D7" s="214">
        <v>0</v>
      </c>
      <c r="E7" s="215">
        <v>10</v>
      </c>
      <c r="F7" s="216">
        <v>0.69</v>
      </c>
      <c r="G7" s="217">
        <v>2.65</v>
      </c>
      <c r="H7" s="217">
        <v>1.39</v>
      </c>
      <c r="I7" s="217">
        <v>8.81</v>
      </c>
      <c r="J7" s="217">
        <v>2.88</v>
      </c>
      <c r="K7" s="217">
        <v>1.49</v>
      </c>
      <c r="L7" s="217">
        <v>7.55</v>
      </c>
      <c r="M7" s="218">
        <v>4</v>
      </c>
      <c r="N7" s="216">
        <v>10</v>
      </c>
      <c r="O7" s="217">
        <v>4</v>
      </c>
      <c r="P7" s="217">
        <v>23</v>
      </c>
      <c r="Q7" s="218">
        <v>9</v>
      </c>
      <c r="R7" s="216">
        <v>13.49</v>
      </c>
      <c r="S7" s="217">
        <v>6</v>
      </c>
      <c r="T7" s="217">
        <v>40</v>
      </c>
      <c r="U7" s="219">
        <v>14</v>
      </c>
      <c r="V7" s="216">
        <v>0.4</v>
      </c>
      <c r="W7" s="217"/>
      <c r="X7" s="217">
        <v>2.8</v>
      </c>
      <c r="Y7" s="218"/>
      <c r="Z7" s="216">
        <v>2.4700000000000002</v>
      </c>
      <c r="AA7" s="217">
        <v>19.059999999999999</v>
      </c>
      <c r="AB7" s="217">
        <v>52.23</v>
      </c>
      <c r="AC7" s="219">
        <v>39.71</v>
      </c>
      <c r="AD7" s="7">
        <v>6.51</v>
      </c>
      <c r="AE7" s="220">
        <v>4.68</v>
      </c>
      <c r="AF7" s="220">
        <v>16.72</v>
      </c>
      <c r="AG7" s="221">
        <v>13.01</v>
      </c>
      <c r="AH7" s="46">
        <v>8.1300000000000008</v>
      </c>
      <c r="AI7" s="8">
        <v>8.51</v>
      </c>
      <c r="AJ7" s="8">
        <v>23.28</v>
      </c>
      <c r="AK7" s="9">
        <v>24.62</v>
      </c>
      <c r="AL7" s="46">
        <v>6.09</v>
      </c>
      <c r="AM7" s="8">
        <v>3.72</v>
      </c>
      <c r="AN7" s="8">
        <v>16.649999999999999</v>
      </c>
      <c r="AO7" s="9">
        <v>11.08</v>
      </c>
      <c r="AP7" s="46">
        <v>80.47</v>
      </c>
      <c r="AQ7" s="8">
        <v>67.08</v>
      </c>
      <c r="AR7" s="8">
        <v>220.47</v>
      </c>
      <c r="AS7" s="9">
        <v>181.7</v>
      </c>
      <c r="AT7" s="46">
        <v>43.6</v>
      </c>
      <c r="AU7" s="8">
        <v>60.2</v>
      </c>
      <c r="AV7" s="8">
        <v>135.6</v>
      </c>
      <c r="AW7" s="9">
        <v>156.6</v>
      </c>
      <c r="AX7" s="222"/>
      <c r="AY7" s="10"/>
      <c r="AZ7" s="10"/>
      <c r="BA7" s="11"/>
      <c r="BB7" s="46">
        <v>1.19</v>
      </c>
      <c r="BC7" s="217">
        <v>1.1399999999999999</v>
      </c>
      <c r="BD7" s="217">
        <v>4.22</v>
      </c>
      <c r="BE7" s="219">
        <v>3.09</v>
      </c>
      <c r="BF7" s="223">
        <v>0.3</v>
      </c>
      <c r="BG7" s="217">
        <v>1.38</v>
      </c>
      <c r="BH7" s="217">
        <v>0.73</v>
      </c>
      <c r="BI7" s="219">
        <v>4.3</v>
      </c>
      <c r="BJ7" s="223">
        <v>30.35</v>
      </c>
      <c r="BK7" s="217">
        <v>25.47</v>
      </c>
      <c r="BL7" s="217">
        <v>72.47</v>
      </c>
      <c r="BM7" s="219">
        <v>60.55</v>
      </c>
      <c r="BN7" s="223">
        <v>0</v>
      </c>
      <c r="BO7" s="217">
        <v>0.05</v>
      </c>
      <c r="BP7" s="217">
        <v>0.02</v>
      </c>
      <c r="BQ7" s="219">
        <v>0.12</v>
      </c>
      <c r="BR7" s="223">
        <v>11.99</v>
      </c>
      <c r="BS7" s="217">
        <v>6.32</v>
      </c>
      <c r="BT7" s="217">
        <v>23.99</v>
      </c>
      <c r="BU7" s="219">
        <v>20.66</v>
      </c>
      <c r="BV7" s="224"/>
      <c r="BW7" s="217"/>
      <c r="BX7" s="217"/>
      <c r="BY7" s="219"/>
      <c r="BZ7" s="225">
        <v>15</v>
      </c>
      <c r="CA7" s="226">
        <v>11</v>
      </c>
      <c r="CB7" s="226">
        <v>37</v>
      </c>
      <c r="CC7" s="227">
        <v>26</v>
      </c>
      <c r="CD7" s="228">
        <v>54.95</v>
      </c>
      <c r="CE7" s="229">
        <v>62.85</v>
      </c>
      <c r="CF7" s="229">
        <v>167.8</v>
      </c>
      <c r="CG7" s="230">
        <v>161.88999999999999</v>
      </c>
      <c r="CH7" s="231"/>
      <c r="CI7" s="232"/>
      <c r="CJ7" s="232"/>
      <c r="CK7" s="233"/>
      <c r="CL7" s="223">
        <v>5.6</v>
      </c>
      <c r="CM7" s="217">
        <v>0.34</v>
      </c>
      <c r="CN7" s="217">
        <v>12.87</v>
      </c>
      <c r="CO7" s="219">
        <v>1.26</v>
      </c>
      <c r="CP7" s="234">
        <f t="shared" si="2"/>
        <v>294.11</v>
      </c>
      <c r="CQ7" s="234">
        <f t="shared" si="0"/>
        <v>289.93999999999994</v>
      </c>
      <c r="CR7" s="234">
        <f t="shared" si="0"/>
        <v>858.79000000000008</v>
      </c>
      <c r="CS7" s="234">
        <f t="shared" si="0"/>
        <v>750.39999999999986</v>
      </c>
      <c r="CT7" s="235">
        <v>11.56</v>
      </c>
      <c r="CU7" s="232">
        <v>12.13</v>
      </c>
      <c r="CV7" s="232">
        <v>26.95</v>
      </c>
      <c r="CW7" s="233">
        <v>26.42</v>
      </c>
      <c r="CX7" s="236">
        <f t="shared" si="3"/>
        <v>305.67</v>
      </c>
      <c r="CY7" s="236">
        <f t="shared" si="1"/>
        <v>302.06999999999994</v>
      </c>
      <c r="CZ7" s="236">
        <f t="shared" si="1"/>
        <v>885.74000000000012</v>
      </c>
      <c r="DA7" s="953">
        <f t="shared" si="1"/>
        <v>776.81999999999982</v>
      </c>
    </row>
    <row r="8" spans="1:105" ht="17.25" x14ac:dyDescent="0.35">
      <c r="A8" s="314" t="s">
        <v>11</v>
      </c>
      <c r="B8" s="944">
        <v>15</v>
      </c>
      <c r="C8" s="214">
        <v>7</v>
      </c>
      <c r="D8" s="214">
        <v>32</v>
      </c>
      <c r="E8" s="215">
        <v>21</v>
      </c>
      <c r="F8" s="216">
        <v>0.12</v>
      </c>
      <c r="G8" s="217">
        <v>0.21</v>
      </c>
      <c r="H8" s="217">
        <v>0.13</v>
      </c>
      <c r="I8" s="217">
        <v>-0.59</v>
      </c>
      <c r="J8" s="217">
        <v>2.66</v>
      </c>
      <c r="K8" s="217">
        <v>0.97</v>
      </c>
      <c r="L8" s="217">
        <v>8.1300000000000008</v>
      </c>
      <c r="M8" s="218">
        <v>1.93</v>
      </c>
      <c r="N8" s="216">
        <v>13</v>
      </c>
      <c r="O8" s="217">
        <v>7</v>
      </c>
      <c r="P8" s="217">
        <v>38</v>
      </c>
      <c r="Q8" s="218">
        <v>20</v>
      </c>
      <c r="R8" s="216">
        <v>71.260000000000005</v>
      </c>
      <c r="S8" s="217">
        <v>42.01</v>
      </c>
      <c r="T8" s="217">
        <v>190</v>
      </c>
      <c r="U8" s="219">
        <v>103</v>
      </c>
      <c r="V8" s="216"/>
      <c r="W8" s="217"/>
      <c r="X8" s="217"/>
      <c r="Y8" s="218"/>
      <c r="Z8" s="216">
        <v>-0.08</v>
      </c>
      <c r="AA8" s="217">
        <v>-0.14000000000000001</v>
      </c>
      <c r="AB8" s="217">
        <v>-0.42</v>
      </c>
      <c r="AC8" s="219">
        <v>-0.39</v>
      </c>
      <c r="AD8" s="7">
        <v>2.36</v>
      </c>
      <c r="AE8" s="220">
        <v>1.59</v>
      </c>
      <c r="AF8" s="220">
        <v>7</v>
      </c>
      <c r="AG8" s="221">
        <v>2.82</v>
      </c>
      <c r="AH8" s="46">
        <v>40.4</v>
      </c>
      <c r="AI8" s="8">
        <v>30.73</v>
      </c>
      <c r="AJ8" s="8">
        <v>104.76</v>
      </c>
      <c r="AK8" s="9">
        <v>80.459999999999994</v>
      </c>
      <c r="AL8" s="46">
        <v>2.57</v>
      </c>
      <c r="AM8" s="8">
        <v>4.97</v>
      </c>
      <c r="AN8" s="8">
        <v>4.71</v>
      </c>
      <c r="AO8" s="9">
        <v>20.43</v>
      </c>
      <c r="AP8" s="46">
        <v>57.22</v>
      </c>
      <c r="AQ8" s="8">
        <v>46.21</v>
      </c>
      <c r="AR8" s="8">
        <v>172.64</v>
      </c>
      <c r="AS8" s="9">
        <v>144.4</v>
      </c>
      <c r="AT8" s="46">
        <v>50.3</v>
      </c>
      <c r="AU8" s="8">
        <v>43.3</v>
      </c>
      <c r="AV8" s="8">
        <v>146</v>
      </c>
      <c r="AW8" s="9">
        <v>118</v>
      </c>
      <c r="AX8" s="222">
        <v>-0.02</v>
      </c>
      <c r="AY8" s="10">
        <v>20.29</v>
      </c>
      <c r="AZ8" s="10">
        <v>15.04</v>
      </c>
      <c r="BA8" s="11">
        <v>49.88</v>
      </c>
      <c r="BB8" s="46">
        <v>4.2300000000000004</v>
      </c>
      <c r="BC8" s="217">
        <v>2.4</v>
      </c>
      <c r="BD8" s="217">
        <v>14.74</v>
      </c>
      <c r="BE8" s="219">
        <v>5.45</v>
      </c>
      <c r="BF8" s="223">
        <v>13.03</v>
      </c>
      <c r="BG8" s="217">
        <v>7.79</v>
      </c>
      <c r="BH8" s="217">
        <v>28.51</v>
      </c>
      <c r="BI8" s="219">
        <v>23.66</v>
      </c>
      <c r="BJ8" s="223">
        <v>1.34</v>
      </c>
      <c r="BK8" s="217">
        <v>2.82</v>
      </c>
      <c r="BL8" s="217">
        <v>3.57</v>
      </c>
      <c r="BM8" s="219">
        <v>6.64</v>
      </c>
      <c r="BN8" s="223">
        <v>4.13</v>
      </c>
      <c r="BO8" s="217">
        <v>1.54</v>
      </c>
      <c r="BP8" s="217">
        <v>8.39</v>
      </c>
      <c r="BQ8" s="219">
        <v>4.18</v>
      </c>
      <c r="BR8" s="223">
        <v>13.99</v>
      </c>
      <c r="BS8" s="217">
        <v>10.72</v>
      </c>
      <c r="BT8" s="217">
        <v>39.56</v>
      </c>
      <c r="BU8" s="219">
        <v>24.41</v>
      </c>
      <c r="BV8" s="224"/>
      <c r="BW8" s="217"/>
      <c r="BX8" s="217"/>
      <c r="BY8" s="219"/>
      <c r="BZ8" s="225">
        <v>0</v>
      </c>
      <c r="CA8" s="226">
        <v>0</v>
      </c>
      <c r="CB8" s="226">
        <v>1</v>
      </c>
      <c r="CC8" s="227">
        <v>1</v>
      </c>
      <c r="CD8" s="228">
        <v>5.0999999999999996</v>
      </c>
      <c r="CE8" s="229">
        <v>3.82</v>
      </c>
      <c r="CF8" s="229">
        <v>14.87</v>
      </c>
      <c r="CG8" s="230">
        <v>9.24</v>
      </c>
      <c r="CH8" s="231"/>
      <c r="CI8" s="232">
        <v>-2.8999999999999998E-3</v>
      </c>
      <c r="CJ8" s="232">
        <v>-3.8999999999999998E-3</v>
      </c>
      <c r="CK8" s="233">
        <v>-1.1599999999999999E-2</v>
      </c>
      <c r="CL8" s="223">
        <v>24.22</v>
      </c>
      <c r="CM8" s="217">
        <v>35.33</v>
      </c>
      <c r="CN8" s="217">
        <v>81.069999999999993</v>
      </c>
      <c r="CO8" s="219">
        <v>112.38</v>
      </c>
      <c r="CP8" s="234">
        <f t="shared" si="2"/>
        <v>320.82999999999993</v>
      </c>
      <c r="CQ8" s="234">
        <f t="shared" si="0"/>
        <v>268.55709999999999</v>
      </c>
      <c r="CR8" s="234">
        <f t="shared" si="0"/>
        <v>909.69609999999989</v>
      </c>
      <c r="CS8" s="234">
        <f t="shared" si="0"/>
        <v>747.88839999999993</v>
      </c>
      <c r="CT8" s="235">
        <v>4.4400000000000004</v>
      </c>
      <c r="CU8" s="232">
        <v>6.55</v>
      </c>
      <c r="CV8" s="232">
        <v>11.35</v>
      </c>
      <c r="CW8" s="233">
        <v>16.29</v>
      </c>
      <c r="CX8" s="236">
        <f t="shared" si="3"/>
        <v>325.26999999999992</v>
      </c>
      <c r="CY8" s="236">
        <f t="shared" si="1"/>
        <v>275.1071</v>
      </c>
      <c r="CZ8" s="236">
        <f t="shared" si="1"/>
        <v>921.04609999999991</v>
      </c>
      <c r="DA8" s="953">
        <f t="shared" si="1"/>
        <v>764.1783999999999</v>
      </c>
    </row>
    <row r="9" spans="1:105" ht="17.25" x14ac:dyDescent="0.35">
      <c r="A9" s="314" t="s">
        <v>12</v>
      </c>
      <c r="B9" s="274"/>
      <c r="C9" s="118"/>
      <c r="D9" s="118"/>
      <c r="E9" s="241"/>
      <c r="F9" s="236"/>
      <c r="G9" s="242"/>
      <c r="H9" s="242"/>
      <c r="I9" s="242"/>
      <c r="J9" s="242"/>
      <c r="K9" s="242"/>
      <c r="L9" s="242"/>
      <c r="M9" s="243"/>
      <c r="N9" s="236"/>
      <c r="O9" s="242"/>
      <c r="P9" s="242"/>
      <c r="Q9" s="243"/>
      <c r="R9" s="236"/>
      <c r="S9" s="242"/>
      <c r="T9" s="242"/>
      <c r="U9" s="244"/>
      <c r="V9" s="236"/>
      <c r="W9" s="242"/>
      <c r="X9" s="242"/>
      <c r="Y9" s="243"/>
      <c r="Z9" s="236"/>
      <c r="AA9" s="242"/>
      <c r="AB9" s="242"/>
      <c r="AC9" s="244"/>
      <c r="AD9" s="12"/>
      <c r="AE9" s="220"/>
      <c r="AF9" s="220"/>
      <c r="AG9" s="221">
        <v>0.01</v>
      </c>
      <c r="AH9" s="69"/>
      <c r="AI9" s="13"/>
      <c r="AJ9" s="13"/>
      <c r="AK9" s="14"/>
      <c r="AL9" s="69"/>
      <c r="AM9" s="13"/>
      <c r="AN9" s="13"/>
      <c r="AO9" s="14"/>
      <c r="AP9" s="69"/>
      <c r="AQ9" s="13"/>
      <c r="AR9" s="13"/>
      <c r="AS9" s="14"/>
      <c r="AT9" s="69"/>
      <c r="AU9" s="13"/>
      <c r="AV9" s="13"/>
      <c r="AW9" s="14"/>
      <c r="AX9" s="222"/>
      <c r="AY9" s="10"/>
      <c r="AZ9" s="10"/>
      <c r="BA9" s="11"/>
      <c r="BB9" s="69"/>
      <c r="BC9" s="242"/>
      <c r="BD9" s="242"/>
      <c r="BE9" s="244"/>
      <c r="BF9" s="245">
        <v>8.2000000000000007E-3</v>
      </c>
      <c r="BG9" s="246">
        <v>3.2000000000000002E-3</v>
      </c>
      <c r="BH9" s="246">
        <v>2.3E-2</v>
      </c>
      <c r="BI9" s="247">
        <v>8.8999999999999999E-3</v>
      </c>
      <c r="BJ9" s="234"/>
      <c r="BK9" s="242"/>
      <c r="BL9" s="242"/>
      <c r="BM9" s="244"/>
      <c r="BN9" s="234"/>
      <c r="BO9" s="242"/>
      <c r="BP9" s="242"/>
      <c r="BQ9" s="244"/>
      <c r="BR9" s="234"/>
      <c r="BS9" s="242"/>
      <c r="BT9" s="242"/>
      <c r="BU9" s="244"/>
      <c r="BV9" s="224"/>
      <c r="BW9" s="217"/>
      <c r="BX9" s="217"/>
      <c r="BY9" s="219"/>
      <c r="BZ9" s="248"/>
      <c r="CA9" s="22"/>
      <c r="CB9" s="22"/>
      <c r="CC9" s="249"/>
      <c r="CD9" s="228"/>
      <c r="CE9" s="229"/>
      <c r="CF9" s="229"/>
      <c r="CG9" s="230"/>
      <c r="CH9" s="231"/>
      <c r="CI9" s="232"/>
      <c r="CJ9" s="232"/>
      <c r="CK9" s="233"/>
      <c r="CL9" s="234">
        <v>0.31</v>
      </c>
      <c r="CM9" s="242">
        <v>0.18</v>
      </c>
      <c r="CN9" s="242">
        <v>0.7</v>
      </c>
      <c r="CO9" s="244">
        <v>0.32</v>
      </c>
      <c r="CP9" s="234">
        <f t="shared" si="2"/>
        <v>0.31819999999999998</v>
      </c>
      <c r="CQ9" s="234">
        <f t="shared" si="0"/>
        <v>0.1832</v>
      </c>
      <c r="CR9" s="234">
        <f t="shared" si="0"/>
        <v>0.72299999999999998</v>
      </c>
      <c r="CS9" s="234">
        <f t="shared" si="0"/>
        <v>0.33889999999999998</v>
      </c>
      <c r="CT9" s="236">
        <v>5.18</v>
      </c>
      <c r="CU9" s="242">
        <v>4.22</v>
      </c>
      <c r="CV9" s="242">
        <v>13.56</v>
      </c>
      <c r="CW9" s="244">
        <v>11.82</v>
      </c>
      <c r="CX9" s="236">
        <f t="shared" si="3"/>
        <v>5.4981999999999998</v>
      </c>
      <c r="CY9" s="236">
        <f t="shared" si="1"/>
        <v>4.4032</v>
      </c>
      <c r="CZ9" s="236">
        <f t="shared" si="1"/>
        <v>14.283000000000001</v>
      </c>
      <c r="DA9" s="953">
        <f t="shared" si="1"/>
        <v>12.158900000000001</v>
      </c>
    </row>
    <row r="10" spans="1:105" ht="17.25" x14ac:dyDescent="0.35">
      <c r="A10" s="314" t="s">
        <v>21</v>
      </c>
      <c r="B10" s="944"/>
      <c r="C10" s="214"/>
      <c r="D10" s="214"/>
      <c r="E10" s="215"/>
      <c r="F10" s="216"/>
      <c r="G10" s="217"/>
      <c r="H10" s="217"/>
      <c r="I10" s="217"/>
      <c r="J10" s="217"/>
      <c r="K10" s="217"/>
      <c r="L10" s="217"/>
      <c r="M10" s="218"/>
      <c r="N10" s="216"/>
      <c r="O10" s="217"/>
      <c r="P10" s="217"/>
      <c r="Q10" s="218"/>
      <c r="R10" s="216"/>
      <c r="S10" s="217"/>
      <c r="T10" s="217"/>
      <c r="U10" s="219"/>
      <c r="V10" s="216"/>
      <c r="W10" s="217"/>
      <c r="X10" s="217"/>
      <c r="Y10" s="218"/>
      <c r="Z10" s="216"/>
      <c r="AA10" s="217"/>
      <c r="AB10" s="217"/>
      <c r="AC10" s="219"/>
      <c r="AD10" s="7"/>
      <c r="AE10" s="220"/>
      <c r="AF10" s="220"/>
      <c r="AG10" s="221"/>
      <c r="AH10" s="46"/>
      <c r="AI10" s="8"/>
      <c r="AJ10" s="8"/>
      <c r="AK10" s="9"/>
      <c r="AL10" s="46"/>
      <c r="AM10" s="8"/>
      <c r="AN10" s="8"/>
      <c r="AO10" s="9"/>
      <c r="AP10" s="46"/>
      <c r="AQ10" s="8"/>
      <c r="AR10" s="8"/>
      <c r="AS10" s="9">
        <v>-0.01</v>
      </c>
      <c r="AT10" s="46"/>
      <c r="AU10" s="8"/>
      <c r="AV10" s="8"/>
      <c r="AW10" s="9"/>
      <c r="AX10" s="46"/>
      <c r="AY10" s="8"/>
      <c r="AZ10" s="8"/>
      <c r="BA10" s="9"/>
      <c r="BB10" s="46">
        <v>0.38</v>
      </c>
      <c r="BC10" s="217">
        <v>0.5</v>
      </c>
      <c r="BD10" s="217">
        <v>1.66</v>
      </c>
      <c r="BE10" s="219">
        <v>0.94</v>
      </c>
      <c r="BF10" s="223"/>
      <c r="BG10" s="217"/>
      <c r="BH10" s="217"/>
      <c r="BI10" s="219"/>
      <c r="BJ10" s="223"/>
      <c r="BK10" s="217"/>
      <c r="BL10" s="217"/>
      <c r="BM10" s="219"/>
      <c r="BN10" s="223"/>
      <c r="BO10" s="217"/>
      <c r="BP10" s="217"/>
      <c r="BQ10" s="219"/>
      <c r="BR10" s="223"/>
      <c r="BS10" s="217"/>
      <c r="BT10" s="217"/>
      <c r="BU10" s="219"/>
      <c r="BV10" s="224"/>
      <c r="BW10" s="217"/>
      <c r="BX10" s="217"/>
      <c r="BY10" s="219"/>
      <c r="BZ10" s="248"/>
      <c r="CA10" s="226"/>
      <c r="CB10" s="226"/>
      <c r="CC10" s="227"/>
      <c r="CD10" s="228"/>
      <c r="CE10" s="229"/>
      <c r="CF10" s="229"/>
      <c r="CG10" s="230"/>
      <c r="CH10" s="231"/>
      <c r="CI10" s="232"/>
      <c r="CJ10" s="232"/>
      <c r="CK10" s="233"/>
      <c r="CL10" s="223"/>
      <c r="CM10" s="217"/>
      <c r="CN10" s="217"/>
      <c r="CO10" s="219"/>
      <c r="CP10" s="234">
        <f t="shared" si="2"/>
        <v>0.38</v>
      </c>
      <c r="CQ10" s="234">
        <f t="shared" si="0"/>
        <v>0.5</v>
      </c>
      <c r="CR10" s="234">
        <f t="shared" si="0"/>
        <v>1.66</v>
      </c>
      <c r="CS10" s="234">
        <f t="shared" si="0"/>
        <v>0.92999999999999994</v>
      </c>
      <c r="CT10" s="235"/>
      <c r="CU10" s="232"/>
      <c r="CV10" s="232"/>
      <c r="CW10" s="233"/>
      <c r="CX10" s="236">
        <f t="shared" si="3"/>
        <v>0.38</v>
      </c>
      <c r="CY10" s="236">
        <f t="shared" si="1"/>
        <v>0.5</v>
      </c>
      <c r="CZ10" s="236">
        <f t="shared" si="1"/>
        <v>1.66</v>
      </c>
      <c r="DA10" s="953">
        <f t="shared" si="1"/>
        <v>0.92999999999999994</v>
      </c>
    </row>
    <row r="11" spans="1:105" ht="17.25" x14ac:dyDescent="0.35">
      <c r="A11" s="314" t="s">
        <v>13</v>
      </c>
      <c r="B11" s="944">
        <v>19</v>
      </c>
      <c r="C11" s="214">
        <v>18</v>
      </c>
      <c r="D11" s="214">
        <v>56</v>
      </c>
      <c r="E11" s="215">
        <v>51</v>
      </c>
      <c r="F11" s="216">
        <v>22.61</v>
      </c>
      <c r="G11" s="217">
        <v>26.01</v>
      </c>
      <c r="H11" s="217">
        <v>64.38</v>
      </c>
      <c r="I11" s="217">
        <v>69.5</v>
      </c>
      <c r="J11" s="217">
        <v>10.5</v>
      </c>
      <c r="K11" s="217">
        <v>12.83</v>
      </c>
      <c r="L11" s="217">
        <v>30.18</v>
      </c>
      <c r="M11" s="218">
        <v>34.83</v>
      </c>
      <c r="N11" s="216">
        <v>46</v>
      </c>
      <c r="O11" s="217">
        <v>29</v>
      </c>
      <c r="P11" s="217">
        <v>111</v>
      </c>
      <c r="Q11" s="218">
        <v>70</v>
      </c>
      <c r="R11" s="216">
        <v>14.11</v>
      </c>
      <c r="S11" s="217">
        <v>20.7</v>
      </c>
      <c r="T11" s="217">
        <v>47</v>
      </c>
      <c r="U11" s="219">
        <v>46</v>
      </c>
      <c r="V11" s="216">
        <v>3.16</v>
      </c>
      <c r="W11" s="217">
        <v>1.36</v>
      </c>
      <c r="X11" s="217">
        <v>49.66</v>
      </c>
      <c r="Y11" s="218">
        <v>3.29</v>
      </c>
      <c r="Z11" s="216">
        <v>34.340000000000003</v>
      </c>
      <c r="AA11" s="217">
        <v>38.369999999999997</v>
      </c>
      <c r="AB11" s="217">
        <v>106.12</v>
      </c>
      <c r="AC11" s="219">
        <v>101.19</v>
      </c>
      <c r="AD11" s="7">
        <v>16.93</v>
      </c>
      <c r="AE11" s="220">
        <v>8.1300000000000008</v>
      </c>
      <c r="AF11" s="220">
        <v>45.65</v>
      </c>
      <c r="AG11" s="221">
        <v>11.33</v>
      </c>
      <c r="AH11" s="46">
        <v>9.23</v>
      </c>
      <c r="AI11" s="8">
        <v>8.4700000000000006</v>
      </c>
      <c r="AJ11" s="8">
        <v>26.33</v>
      </c>
      <c r="AK11" s="9">
        <v>22.29</v>
      </c>
      <c r="AL11" s="46">
        <v>42.18</v>
      </c>
      <c r="AM11" s="8">
        <v>37.729999999999997</v>
      </c>
      <c r="AN11" s="8">
        <v>89.04</v>
      </c>
      <c r="AO11" s="9">
        <v>75.66</v>
      </c>
      <c r="AP11" s="46">
        <v>582.1</v>
      </c>
      <c r="AQ11" s="8">
        <v>267.7</v>
      </c>
      <c r="AR11" s="8">
        <v>1455.64</v>
      </c>
      <c r="AS11" s="9">
        <v>625.65</v>
      </c>
      <c r="AT11" s="46">
        <v>299.60000000000002</v>
      </c>
      <c r="AU11" s="8">
        <v>345.5</v>
      </c>
      <c r="AV11" s="8">
        <v>875.1</v>
      </c>
      <c r="AW11" s="9">
        <v>973.5</v>
      </c>
      <c r="AX11" s="46">
        <v>1.82</v>
      </c>
      <c r="AY11" s="8">
        <v>2</v>
      </c>
      <c r="AZ11" s="8">
        <v>3.78</v>
      </c>
      <c r="BA11" s="9">
        <v>3.12</v>
      </c>
      <c r="BB11" s="46">
        <v>1.61</v>
      </c>
      <c r="BC11" s="217">
        <v>2.54</v>
      </c>
      <c r="BD11" s="217">
        <v>5.87</v>
      </c>
      <c r="BE11" s="219">
        <v>6.44</v>
      </c>
      <c r="BF11" s="223">
        <v>38.47</v>
      </c>
      <c r="BG11" s="217">
        <v>22.56</v>
      </c>
      <c r="BH11" s="217">
        <v>93.98</v>
      </c>
      <c r="BI11" s="219">
        <v>51.02</v>
      </c>
      <c r="BJ11" s="223">
        <v>147.31</v>
      </c>
      <c r="BK11" s="217">
        <v>101.72</v>
      </c>
      <c r="BL11" s="217">
        <v>353.85</v>
      </c>
      <c r="BM11" s="219">
        <v>274.20999999999998</v>
      </c>
      <c r="BN11" s="223">
        <v>98.3</v>
      </c>
      <c r="BO11" s="217">
        <v>88.17</v>
      </c>
      <c r="BP11" s="217">
        <v>261.26</v>
      </c>
      <c r="BQ11" s="219">
        <v>244.26</v>
      </c>
      <c r="BR11" s="223">
        <v>61.2</v>
      </c>
      <c r="BS11" s="217">
        <v>42.78</v>
      </c>
      <c r="BT11" s="217">
        <v>166.21</v>
      </c>
      <c r="BU11" s="219">
        <v>116.47</v>
      </c>
      <c r="BV11" s="224"/>
      <c r="BW11" s="217"/>
      <c r="BX11" s="217"/>
      <c r="BY11" s="219"/>
      <c r="BZ11" s="225">
        <v>16</v>
      </c>
      <c r="CA11" s="226">
        <v>12</v>
      </c>
      <c r="CB11" s="226">
        <v>49</v>
      </c>
      <c r="CC11" s="227">
        <v>41</v>
      </c>
      <c r="CD11" s="228">
        <v>44.98</v>
      </c>
      <c r="CE11" s="229">
        <v>35.380000000000003</v>
      </c>
      <c r="CF11" s="229">
        <v>117.58</v>
      </c>
      <c r="CG11" s="230">
        <v>95.07</v>
      </c>
      <c r="CH11" s="231">
        <v>1.38</v>
      </c>
      <c r="CI11" s="232">
        <v>6.2305999999999999</v>
      </c>
      <c r="CJ11" s="232">
        <v>6.9817</v>
      </c>
      <c r="CK11" s="233">
        <f>1514.37/100</f>
        <v>15.143699999999999</v>
      </c>
      <c r="CL11" s="223">
        <v>26.66</v>
      </c>
      <c r="CM11" s="217">
        <v>28.81</v>
      </c>
      <c r="CN11" s="217">
        <v>56.2</v>
      </c>
      <c r="CO11" s="219">
        <v>52.63</v>
      </c>
      <c r="CP11" s="234">
        <f t="shared" si="2"/>
        <v>1537.4900000000002</v>
      </c>
      <c r="CQ11" s="234">
        <f t="shared" si="0"/>
        <v>1155.9906000000001</v>
      </c>
      <c r="CR11" s="234">
        <f t="shared" si="0"/>
        <v>4070.8116999999997</v>
      </c>
      <c r="CS11" s="234">
        <f t="shared" si="0"/>
        <v>2983.6037000000001</v>
      </c>
      <c r="CT11" s="235">
        <v>243.51</v>
      </c>
      <c r="CU11" s="232">
        <v>387.38</v>
      </c>
      <c r="CV11" s="232">
        <v>524.09</v>
      </c>
      <c r="CW11" s="233">
        <v>812.38</v>
      </c>
      <c r="CX11" s="236">
        <f t="shared" si="3"/>
        <v>1781.0000000000002</v>
      </c>
      <c r="CY11" s="236">
        <f t="shared" si="1"/>
        <v>1543.3706000000002</v>
      </c>
      <c r="CZ11" s="236">
        <f t="shared" si="1"/>
        <v>4594.9016999999994</v>
      </c>
      <c r="DA11" s="953">
        <f t="shared" si="1"/>
        <v>3795.9837000000002</v>
      </c>
    </row>
    <row r="12" spans="1:105" ht="17.25" x14ac:dyDescent="0.35">
      <c r="A12" s="314" t="s">
        <v>22</v>
      </c>
      <c r="B12" s="944"/>
      <c r="C12" s="214"/>
      <c r="D12" s="214"/>
      <c r="E12" s="215"/>
      <c r="F12" s="216"/>
      <c r="G12" s="217"/>
      <c r="H12" s="217"/>
      <c r="I12" s="217"/>
      <c r="J12" s="217"/>
      <c r="K12" s="217"/>
      <c r="L12" s="217"/>
      <c r="M12" s="218"/>
      <c r="N12" s="216"/>
      <c r="O12" s="217"/>
      <c r="P12" s="217"/>
      <c r="Q12" s="218"/>
      <c r="R12" s="216"/>
      <c r="S12" s="217"/>
      <c r="T12" s="217"/>
      <c r="U12" s="219"/>
      <c r="V12" s="216"/>
      <c r="W12" s="217"/>
      <c r="X12" s="217"/>
      <c r="Y12" s="218"/>
      <c r="AA12" s="217"/>
      <c r="AB12" s="217"/>
      <c r="AC12" s="219"/>
      <c r="AD12" s="7"/>
      <c r="AE12" s="220"/>
      <c r="AF12" s="220"/>
      <c r="AG12" s="221"/>
      <c r="AH12" s="46">
        <v>0.04</v>
      </c>
      <c r="AI12" s="8"/>
      <c r="AJ12" s="8">
        <v>0.04</v>
      </c>
      <c r="AK12" s="9"/>
      <c r="AL12" s="46"/>
      <c r="AM12" s="8"/>
      <c r="AN12" s="8"/>
      <c r="AO12" s="9"/>
      <c r="AP12" s="46"/>
      <c r="AQ12" s="8"/>
      <c r="AR12" s="8"/>
      <c r="AS12" s="9"/>
      <c r="AT12" s="46"/>
      <c r="AU12" s="8"/>
      <c r="AV12" s="8"/>
      <c r="AW12" s="9"/>
      <c r="AX12" s="46"/>
      <c r="AY12" s="8"/>
      <c r="AZ12" s="8"/>
      <c r="BA12" s="9"/>
      <c r="BB12" s="46"/>
      <c r="BC12" s="217"/>
      <c r="BD12" s="217"/>
      <c r="BE12" s="219"/>
      <c r="BF12" s="223">
        <v>1.69</v>
      </c>
      <c r="BG12" s="217">
        <v>0</v>
      </c>
      <c r="BH12" s="217">
        <v>4.18</v>
      </c>
      <c r="BI12" s="219">
        <v>0</v>
      </c>
      <c r="BJ12" s="223">
        <v>0</v>
      </c>
      <c r="BK12" s="217"/>
      <c r="BL12" s="217">
        <v>0.09</v>
      </c>
      <c r="BM12" s="219"/>
      <c r="BN12" s="223"/>
      <c r="BO12" s="217"/>
      <c r="BP12" s="217"/>
      <c r="BQ12" s="219"/>
      <c r="BR12" s="223"/>
      <c r="BS12" s="217"/>
      <c r="BT12" s="217"/>
      <c r="BU12" s="219"/>
      <c r="BV12" s="224"/>
      <c r="BW12" s="217"/>
      <c r="BX12" s="217"/>
      <c r="BY12" s="219"/>
      <c r="BZ12" s="225"/>
      <c r="CA12" s="226"/>
      <c r="CB12" s="226"/>
      <c r="CC12" s="227"/>
      <c r="CD12" s="228"/>
      <c r="CE12" s="229"/>
      <c r="CF12" s="229"/>
      <c r="CG12" s="230"/>
      <c r="CH12" s="231"/>
      <c r="CI12" s="232"/>
      <c r="CJ12" s="232"/>
      <c r="CK12" s="233"/>
      <c r="CL12" s="223"/>
      <c r="CM12" s="217"/>
      <c r="CN12" s="217"/>
      <c r="CO12" s="219"/>
      <c r="CP12" s="234">
        <f t="shared" si="2"/>
        <v>1.73</v>
      </c>
      <c r="CQ12" s="234">
        <f t="shared" si="0"/>
        <v>0</v>
      </c>
      <c r="CR12" s="234">
        <f t="shared" si="0"/>
        <v>4.3099999999999996</v>
      </c>
      <c r="CS12" s="234">
        <f t="shared" si="0"/>
        <v>0</v>
      </c>
      <c r="CT12" s="235"/>
      <c r="CU12" s="232"/>
      <c r="CV12" s="232"/>
      <c r="CW12" s="233"/>
      <c r="CX12" s="236">
        <f t="shared" si="3"/>
        <v>1.73</v>
      </c>
      <c r="CY12" s="236">
        <f t="shared" si="1"/>
        <v>0</v>
      </c>
      <c r="CZ12" s="236">
        <f t="shared" si="1"/>
        <v>4.3099999999999996</v>
      </c>
      <c r="DA12" s="953">
        <f t="shared" si="1"/>
        <v>0</v>
      </c>
    </row>
    <row r="13" spans="1:105" ht="17.25" x14ac:dyDescent="0.35">
      <c r="A13" s="314" t="s">
        <v>23</v>
      </c>
      <c r="B13" s="944"/>
      <c r="C13" s="214"/>
      <c r="D13" s="214"/>
      <c r="E13" s="215"/>
      <c r="F13" s="216"/>
      <c r="G13" s="217"/>
      <c r="H13" s="217"/>
      <c r="I13" s="217"/>
      <c r="J13" s="217"/>
      <c r="K13" s="217"/>
      <c r="L13" s="217"/>
      <c r="M13" s="218"/>
      <c r="N13" s="216"/>
      <c r="O13" s="217"/>
      <c r="P13" s="217"/>
      <c r="Q13" s="218"/>
      <c r="R13" s="216"/>
      <c r="S13" s="217"/>
      <c r="T13" s="217"/>
      <c r="U13" s="219"/>
      <c r="V13" s="216"/>
      <c r="W13" s="217"/>
      <c r="X13" s="217"/>
      <c r="Y13" s="218"/>
      <c r="Z13" s="216"/>
      <c r="AA13" s="217"/>
      <c r="AB13" s="217"/>
      <c r="AC13" s="219"/>
      <c r="AD13" s="7"/>
      <c r="AE13" s="220"/>
      <c r="AF13" s="220"/>
      <c r="AG13" s="221"/>
      <c r="AH13" s="46">
        <v>0.16</v>
      </c>
      <c r="AI13" s="8">
        <v>-0.04</v>
      </c>
      <c r="AJ13" s="8">
        <v>6.0999999999999999E-2</v>
      </c>
      <c r="AK13" s="9">
        <v>0.05</v>
      </c>
      <c r="AL13" s="46"/>
      <c r="AM13" s="8"/>
      <c r="AN13" s="8"/>
      <c r="AO13" s="9"/>
      <c r="AP13" s="46">
        <v>0.17</v>
      </c>
      <c r="AQ13" s="8">
        <v>0.31</v>
      </c>
      <c r="AR13" s="8">
        <v>0.75</v>
      </c>
      <c r="AS13" s="9">
        <v>1.28</v>
      </c>
      <c r="AT13" s="46">
        <v>0.4</v>
      </c>
      <c r="AU13" s="8">
        <v>0.5</v>
      </c>
      <c r="AV13" s="8">
        <v>2</v>
      </c>
      <c r="AW13" s="9">
        <v>0.8</v>
      </c>
      <c r="AX13" s="46"/>
      <c r="AY13" s="8"/>
      <c r="AZ13" s="8"/>
      <c r="BA13" s="9"/>
      <c r="BB13" s="46"/>
      <c r="BC13" s="217"/>
      <c r="BD13" s="217"/>
      <c r="BE13" s="219"/>
      <c r="BF13" s="223"/>
      <c r="BG13" s="217"/>
      <c r="BH13" s="217"/>
      <c r="BI13" s="219"/>
      <c r="BJ13" s="223"/>
      <c r="BK13" s="217"/>
      <c r="BL13" s="217"/>
      <c r="BM13" s="219"/>
      <c r="BN13" s="223"/>
      <c r="BO13" s="217"/>
      <c r="BP13" s="217"/>
      <c r="BQ13" s="219"/>
      <c r="BR13" s="223"/>
      <c r="BS13" s="217"/>
      <c r="BT13" s="217"/>
      <c r="BU13" s="219"/>
      <c r="BV13" s="224"/>
      <c r="BW13" s="217"/>
      <c r="BX13" s="217"/>
      <c r="BY13" s="219"/>
      <c r="BZ13" s="225"/>
      <c r="CA13" s="226"/>
      <c r="CB13" s="226"/>
      <c r="CC13" s="227"/>
      <c r="CD13" s="228"/>
      <c r="CE13" s="229"/>
      <c r="CF13" s="229"/>
      <c r="CG13" s="230"/>
      <c r="CH13" s="231"/>
      <c r="CI13" s="232"/>
      <c r="CJ13" s="232"/>
      <c r="CK13" s="233"/>
      <c r="CL13" s="223"/>
      <c r="CM13" s="217"/>
      <c r="CN13" s="217"/>
      <c r="CO13" s="219"/>
      <c r="CP13" s="234">
        <f t="shared" si="2"/>
        <v>0.73</v>
      </c>
      <c r="CQ13" s="234">
        <f t="shared" si="0"/>
        <v>0.77</v>
      </c>
      <c r="CR13" s="234">
        <f t="shared" si="0"/>
        <v>2.8109999999999999</v>
      </c>
      <c r="CS13" s="234">
        <f t="shared" si="0"/>
        <v>2.13</v>
      </c>
      <c r="CT13" s="235">
        <v>2.74</v>
      </c>
      <c r="CU13" s="232">
        <v>2.92</v>
      </c>
      <c r="CV13" s="232">
        <v>7.58</v>
      </c>
      <c r="CW13" s="233">
        <v>4.7300000000000004</v>
      </c>
      <c r="CX13" s="236">
        <f t="shared" si="3"/>
        <v>3.47</v>
      </c>
      <c r="CY13" s="236">
        <f t="shared" si="1"/>
        <v>3.69</v>
      </c>
      <c r="CZ13" s="236">
        <f t="shared" si="1"/>
        <v>10.391</v>
      </c>
      <c r="DA13" s="953">
        <f t="shared" si="1"/>
        <v>6.86</v>
      </c>
    </row>
    <row r="14" spans="1:105" ht="17.25" x14ac:dyDescent="0.35">
      <c r="A14" s="314" t="s">
        <v>28</v>
      </c>
      <c r="B14" s="944"/>
      <c r="C14" s="214"/>
      <c r="D14" s="214"/>
      <c r="E14" s="215"/>
      <c r="F14" s="216"/>
      <c r="G14" s="217"/>
      <c r="H14" s="217"/>
      <c r="I14" s="217"/>
      <c r="J14" s="217"/>
      <c r="K14" s="217"/>
      <c r="L14" s="217"/>
      <c r="M14" s="218"/>
      <c r="N14" s="216">
        <v>42</v>
      </c>
      <c r="O14" s="217">
        <v>15</v>
      </c>
      <c r="P14" s="217">
        <v>99</v>
      </c>
      <c r="Q14" s="218">
        <v>34</v>
      </c>
      <c r="R14" s="216"/>
      <c r="S14" s="217"/>
      <c r="T14" s="217"/>
      <c r="U14" s="219"/>
      <c r="V14" s="216"/>
      <c r="W14" s="217"/>
      <c r="X14" s="217"/>
      <c r="Y14" s="218"/>
      <c r="Z14" s="216"/>
      <c r="AA14" s="217"/>
      <c r="AB14" s="217"/>
      <c r="AC14" s="219"/>
      <c r="AD14" s="7"/>
      <c r="AE14" s="220"/>
      <c r="AF14" s="220"/>
      <c r="AG14" s="221"/>
      <c r="AH14" s="46"/>
      <c r="AI14" s="8"/>
      <c r="AJ14" s="8"/>
      <c r="AK14" s="9"/>
      <c r="AL14" s="46"/>
      <c r="AM14" s="8"/>
      <c r="AN14" s="8"/>
      <c r="AO14" s="9"/>
      <c r="AP14" s="46"/>
      <c r="AQ14" s="8"/>
      <c r="AR14" s="8"/>
      <c r="AS14" s="9"/>
      <c r="AT14" s="46">
        <v>16.100000000000001</v>
      </c>
      <c r="AU14" s="8">
        <v>9.8000000000000007</v>
      </c>
      <c r="AV14" s="8">
        <v>40.5</v>
      </c>
      <c r="AW14" s="9">
        <v>31.6</v>
      </c>
      <c r="AX14" s="46"/>
      <c r="AY14" s="8"/>
      <c r="AZ14" s="8"/>
      <c r="BA14" s="9"/>
      <c r="BB14" s="46"/>
      <c r="BC14" s="217"/>
      <c r="BD14" s="217"/>
      <c r="BE14" s="219"/>
      <c r="BF14" s="223"/>
      <c r="BG14" s="217"/>
      <c r="BH14" s="217"/>
      <c r="BI14" s="219"/>
      <c r="BJ14" s="223"/>
      <c r="BK14" s="217"/>
      <c r="BL14" s="217"/>
      <c r="BM14" s="219"/>
      <c r="BN14" s="223"/>
      <c r="BO14" s="217"/>
      <c r="BP14" s="217"/>
      <c r="BQ14" s="219"/>
      <c r="BR14" s="223"/>
      <c r="BS14" s="217"/>
      <c r="BT14" s="217"/>
      <c r="BU14" s="219"/>
      <c r="BV14" s="224"/>
      <c r="BW14" s="217"/>
      <c r="BX14" s="217"/>
      <c r="BY14" s="219"/>
      <c r="BZ14" s="225"/>
      <c r="CA14" s="226"/>
      <c r="CB14" s="226"/>
      <c r="CC14" s="227"/>
      <c r="CD14" s="228"/>
      <c r="CE14" s="229"/>
      <c r="CF14" s="229"/>
      <c r="CG14" s="230"/>
      <c r="CH14" s="231"/>
      <c r="CI14" s="232"/>
      <c r="CJ14" s="232"/>
      <c r="CK14" s="233"/>
      <c r="CL14" s="223"/>
      <c r="CM14" s="217"/>
      <c r="CN14" s="217"/>
      <c r="CO14" s="219"/>
      <c r="CP14" s="234">
        <f t="shared" si="2"/>
        <v>58.1</v>
      </c>
      <c r="CQ14" s="234">
        <f t="shared" si="0"/>
        <v>24.8</v>
      </c>
      <c r="CR14" s="234">
        <f t="shared" si="0"/>
        <v>139.5</v>
      </c>
      <c r="CS14" s="234">
        <f t="shared" si="0"/>
        <v>65.599999999999994</v>
      </c>
      <c r="CT14" s="235"/>
      <c r="CU14" s="232"/>
      <c r="CV14" s="232"/>
      <c r="CW14" s="233"/>
      <c r="CX14" s="236">
        <f t="shared" si="3"/>
        <v>58.1</v>
      </c>
      <c r="CY14" s="236">
        <f t="shared" si="1"/>
        <v>24.8</v>
      </c>
      <c r="CZ14" s="236">
        <f t="shared" si="1"/>
        <v>139.5</v>
      </c>
      <c r="DA14" s="953">
        <f t="shared" si="1"/>
        <v>65.599999999999994</v>
      </c>
    </row>
    <row r="15" spans="1:105" ht="18" thickBot="1" x14ac:dyDescent="0.4">
      <c r="A15" s="954" t="s">
        <v>25</v>
      </c>
      <c r="B15" s="1020"/>
      <c r="C15" s="1021"/>
      <c r="D15" s="1021"/>
      <c r="E15" s="1022"/>
      <c r="F15" s="955"/>
      <c r="G15" s="956"/>
      <c r="H15" s="956"/>
      <c r="I15" s="956"/>
      <c r="J15" s="956"/>
      <c r="K15" s="956"/>
      <c r="L15" s="956"/>
      <c r="M15" s="957"/>
      <c r="N15" s="955"/>
      <c r="O15" s="956"/>
      <c r="P15" s="956"/>
      <c r="Q15" s="957"/>
      <c r="R15" s="955"/>
      <c r="S15" s="956"/>
      <c r="T15" s="956"/>
      <c r="U15" s="958"/>
      <c r="V15" s="955"/>
      <c r="W15" s="956"/>
      <c r="X15" s="956"/>
      <c r="Y15" s="957"/>
      <c r="Z15" s="955"/>
      <c r="AA15" s="956"/>
      <c r="AB15" s="956"/>
      <c r="AC15" s="958"/>
      <c r="AD15" s="1023"/>
      <c r="AE15" s="1024"/>
      <c r="AF15" s="1024"/>
      <c r="AG15" s="1025"/>
      <c r="AH15" s="1026"/>
      <c r="AI15" s="1027"/>
      <c r="AJ15" s="1027"/>
      <c r="AK15" s="1028"/>
      <c r="AL15" s="1026"/>
      <c r="AM15" s="1027"/>
      <c r="AN15" s="1027"/>
      <c r="AO15" s="1028"/>
      <c r="AP15" s="1026">
        <v>17.79</v>
      </c>
      <c r="AQ15" s="1027"/>
      <c r="AR15" s="1027">
        <v>38.299999999999997</v>
      </c>
      <c r="AS15" s="1028"/>
      <c r="AT15" s="1026">
        <v>7.1</v>
      </c>
      <c r="AU15" s="1027">
        <v>7</v>
      </c>
      <c r="AV15" s="1027">
        <v>20.2</v>
      </c>
      <c r="AW15" s="1028">
        <v>16.7</v>
      </c>
      <c r="AX15" s="1026"/>
      <c r="AY15" s="1027"/>
      <c r="AZ15" s="1027"/>
      <c r="BA15" s="1028"/>
      <c r="BB15" s="1026"/>
      <c r="BC15" s="956"/>
      <c r="BD15" s="956"/>
      <c r="BE15" s="958"/>
      <c r="BF15" s="959"/>
      <c r="BG15" s="956"/>
      <c r="BH15" s="956"/>
      <c r="BI15" s="958"/>
      <c r="BJ15" s="959"/>
      <c r="BK15" s="956"/>
      <c r="BL15" s="956"/>
      <c r="BM15" s="958"/>
      <c r="BN15" s="959"/>
      <c r="BO15" s="956"/>
      <c r="BP15" s="956"/>
      <c r="BQ15" s="958"/>
      <c r="BR15" s="959"/>
      <c r="BS15" s="956"/>
      <c r="BT15" s="956"/>
      <c r="BU15" s="958"/>
      <c r="BV15" s="960"/>
      <c r="BW15" s="956"/>
      <c r="BX15" s="956"/>
      <c r="BY15" s="958"/>
      <c r="BZ15" s="1029"/>
      <c r="CA15" s="1030"/>
      <c r="CB15" s="1030"/>
      <c r="CC15" s="1031"/>
      <c r="CD15" s="961"/>
      <c r="CE15" s="962"/>
      <c r="CF15" s="962"/>
      <c r="CG15" s="963"/>
      <c r="CH15" s="964"/>
      <c r="CI15" s="965"/>
      <c r="CJ15" s="965"/>
      <c r="CK15" s="966"/>
      <c r="CL15" s="959"/>
      <c r="CM15" s="956"/>
      <c r="CN15" s="956"/>
      <c r="CO15" s="958"/>
      <c r="CP15" s="967">
        <f t="shared" si="2"/>
        <v>24.89</v>
      </c>
      <c r="CQ15" s="967">
        <f t="shared" si="0"/>
        <v>7</v>
      </c>
      <c r="CR15" s="967">
        <f t="shared" si="0"/>
        <v>58.5</v>
      </c>
      <c r="CS15" s="967">
        <f t="shared" si="0"/>
        <v>16.7</v>
      </c>
      <c r="CT15" s="968"/>
      <c r="CU15" s="965"/>
      <c r="CV15" s="965"/>
      <c r="CW15" s="966"/>
      <c r="CX15" s="969">
        <f t="shared" si="3"/>
        <v>24.89</v>
      </c>
      <c r="CY15" s="969">
        <f t="shared" si="1"/>
        <v>7</v>
      </c>
      <c r="CZ15" s="969">
        <f t="shared" si="1"/>
        <v>58.5</v>
      </c>
      <c r="DA15" s="970">
        <f t="shared" si="1"/>
        <v>16.7</v>
      </c>
    </row>
    <row r="16" spans="1:105" s="946" customFormat="1" ht="18.75" thickBot="1" x14ac:dyDescent="0.4">
      <c r="A16" s="1032" t="s">
        <v>26</v>
      </c>
      <c r="B16" s="994">
        <v>481</v>
      </c>
      <c r="C16" s="995">
        <v>286</v>
      </c>
      <c r="D16" s="995">
        <v>1107</v>
      </c>
      <c r="E16" s="996">
        <v>661</v>
      </c>
      <c r="F16" s="1033">
        <v>23.46</v>
      </c>
      <c r="G16" s="1034">
        <v>29.12</v>
      </c>
      <c r="H16" s="1034">
        <v>66.36</v>
      </c>
      <c r="I16" s="1034">
        <v>78.33</v>
      </c>
      <c r="J16" s="1034">
        <v>29.95</v>
      </c>
      <c r="K16" s="1034">
        <v>39.78</v>
      </c>
      <c r="L16" s="1034">
        <v>95.3</v>
      </c>
      <c r="M16" s="1035">
        <v>104.43</v>
      </c>
      <c r="N16" s="1033">
        <v>434</v>
      </c>
      <c r="O16" s="1034">
        <v>375</v>
      </c>
      <c r="P16" s="1034">
        <v>1091</v>
      </c>
      <c r="Q16" s="1035">
        <v>962</v>
      </c>
      <c r="R16" s="1033">
        <v>154.19999999999999</v>
      </c>
      <c r="S16" s="1034">
        <v>114.04</v>
      </c>
      <c r="T16" s="1034">
        <v>417.41</v>
      </c>
      <c r="U16" s="1036">
        <v>268.49</v>
      </c>
      <c r="V16" s="1033">
        <v>203.83</v>
      </c>
      <c r="W16" s="1034">
        <v>203.76</v>
      </c>
      <c r="X16" s="1034">
        <v>809.78</v>
      </c>
      <c r="Y16" s="1035">
        <v>551.83000000000004</v>
      </c>
      <c r="Z16" s="1033">
        <v>67.11</v>
      </c>
      <c r="AA16" s="1034">
        <v>90.48</v>
      </c>
      <c r="AB16" s="1034">
        <v>248.56</v>
      </c>
      <c r="AC16" s="1036">
        <v>229.87</v>
      </c>
      <c r="AD16" s="1001">
        <v>82.15</v>
      </c>
      <c r="AE16" s="1002">
        <v>56.66</v>
      </c>
      <c r="AF16" s="1002">
        <v>212.13</v>
      </c>
      <c r="AG16" s="1003">
        <v>130.66</v>
      </c>
      <c r="AH16" s="1004">
        <v>150.88</v>
      </c>
      <c r="AI16" s="1005">
        <v>137.57</v>
      </c>
      <c r="AJ16" s="1005">
        <v>427.89</v>
      </c>
      <c r="AK16" s="1006">
        <v>378.62</v>
      </c>
      <c r="AL16" s="1004">
        <v>81.31</v>
      </c>
      <c r="AM16" s="1005">
        <v>68.37</v>
      </c>
      <c r="AN16" s="1005">
        <v>195.05</v>
      </c>
      <c r="AO16" s="1006">
        <v>159.30000000000001</v>
      </c>
      <c r="AP16" s="1004">
        <v>1885.57</v>
      </c>
      <c r="AQ16" s="1005">
        <v>1431.29</v>
      </c>
      <c r="AR16" s="1005">
        <v>4977.7</v>
      </c>
      <c r="AS16" s="1006">
        <v>3490.04</v>
      </c>
      <c r="AT16" s="1004">
        <v>1875.2</v>
      </c>
      <c r="AU16" s="1005">
        <v>2181.4</v>
      </c>
      <c r="AV16" s="1005">
        <v>5477.3</v>
      </c>
      <c r="AW16" s="1006">
        <v>5997.2</v>
      </c>
      <c r="AX16" s="1004">
        <v>157.88999999999999</v>
      </c>
      <c r="AY16" s="1005">
        <v>184.23</v>
      </c>
      <c r="AZ16" s="1005">
        <v>412.87</v>
      </c>
      <c r="BA16" s="1006">
        <v>488.86</v>
      </c>
      <c r="BB16" s="1037">
        <v>162.11000000000001</v>
      </c>
      <c r="BC16" s="1034">
        <v>145.01</v>
      </c>
      <c r="BD16" s="1034">
        <v>424.24</v>
      </c>
      <c r="BE16" s="1036">
        <v>386.53</v>
      </c>
      <c r="BF16" s="1037">
        <v>491.06</v>
      </c>
      <c r="BG16" s="1034">
        <v>430.97</v>
      </c>
      <c r="BH16" s="1034">
        <v>1144.4100000000001</v>
      </c>
      <c r="BI16" s="1036">
        <v>1038.51</v>
      </c>
      <c r="BJ16" s="1037">
        <v>1092.56</v>
      </c>
      <c r="BK16" s="1034">
        <v>974.77</v>
      </c>
      <c r="BL16" s="1034">
        <v>2816.3</v>
      </c>
      <c r="BM16" s="1036">
        <v>2397.1799999999998</v>
      </c>
      <c r="BN16" s="1037">
        <v>338.9</v>
      </c>
      <c r="BO16" s="1034">
        <v>320.11</v>
      </c>
      <c r="BP16" s="1034">
        <v>887.61</v>
      </c>
      <c r="BQ16" s="1036">
        <v>806.6</v>
      </c>
      <c r="BR16" s="1037">
        <v>225.31</v>
      </c>
      <c r="BS16" s="1034">
        <v>168.06</v>
      </c>
      <c r="BT16" s="1034">
        <v>631.48</v>
      </c>
      <c r="BU16" s="1036">
        <v>480.27</v>
      </c>
      <c r="BV16" s="1038"/>
      <c r="BW16" s="1034"/>
      <c r="BX16" s="1034"/>
      <c r="BY16" s="1036"/>
      <c r="BZ16" s="1039">
        <v>2878</v>
      </c>
      <c r="CA16" s="1040">
        <v>2457</v>
      </c>
      <c r="CB16" s="1040">
        <v>5697</v>
      </c>
      <c r="CC16" s="1041">
        <v>5789</v>
      </c>
      <c r="CD16" s="1042">
        <v>115.47</v>
      </c>
      <c r="CE16" s="1043">
        <v>115.62</v>
      </c>
      <c r="CF16" s="1043">
        <v>331.14</v>
      </c>
      <c r="CG16" s="1044">
        <v>306.33</v>
      </c>
      <c r="CH16" s="1045">
        <f>15907.56/100</f>
        <v>159.07560000000001</v>
      </c>
      <c r="CI16" s="1046">
        <f>18574.13/100</f>
        <v>185.74130000000002</v>
      </c>
      <c r="CJ16" s="1046">
        <f>38245.55/100</f>
        <v>382.45550000000003</v>
      </c>
      <c r="CK16" s="1047">
        <f>42770.01/100</f>
        <v>427.70010000000002</v>
      </c>
      <c r="CL16" s="1037">
        <v>571.42999999999995</v>
      </c>
      <c r="CM16" s="1034">
        <v>304.85000000000002</v>
      </c>
      <c r="CN16" s="1034">
        <v>1308.82</v>
      </c>
      <c r="CO16" s="1036">
        <v>786.77</v>
      </c>
      <c r="CP16" s="1037">
        <f t="shared" si="2"/>
        <v>11660.465600000001</v>
      </c>
      <c r="CQ16" s="1037">
        <f t="shared" si="0"/>
        <v>10299.8313</v>
      </c>
      <c r="CR16" s="1037">
        <f t="shared" si="0"/>
        <v>29161.805499999999</v>
      </c>
      <c r="CS16" s="1037">
        <f t="shared" si="0"/>
        <v>25919.520100000005</v>
      </c>
      <c r="CT16" s="1048">
        <f>SUM(CT5:CT13)</f>
        <v>13100.4</v>
      </c>
      <c r="CU16" s="1048">
        <f t="shared" ref="CU16:CW16" si="4">SUM(CU5:CU13)</f>
        <v>15730.549999999997</v>
      </c>
      <c r="CV16" s="1048">
        <f t="shared" si="4"/>
        <v>33477.80999999999</v>
      </c>
      <c r="CW16" s="1048">
        <f t="shared" si="4"/>
        <v>36790.03</v>
      </c>
      <c r="CX16" s="1033">
        <f t="shared" si="3"/>
        <v>24760.865600000001</v>
      </c>
      <c r="CY16" s="1033">
        <f t="shared" si="1"/>
        <v>26030.381299999997</v>
      </c>
      <c r="CZ16" s="1033">
        <f t="shared" si="1"/>
        <v>62639.615499999985</v>
      </c>
      <c r="DA16" s="1049">
        <f t="shared" si="1"/>
        <v>62709.550100000008</v>
      </c>
    </row>
    <row r="17" spans="1:105" ht="18" thickBot="1" x14ac:dyDescent="0.4">
      <c r="A17" s="1050" t="s">
        <v>16</v>
      </c>
      <c r="B17" s="1051"/>
      <c r="C17" s="1052"/>
      <c r="D17" s="1052"/>
      <c r="E17" s="1053"/>
      <c r="F17" s="997"/>
      <c r="G17" s="998"/>
      <c r="H17" s="998">
        <v>-0.02</v>
      </c>
      <c r="I17" s="998">
        <v>-0.05</v>
      </c>
      <c r="J17" s="998">
        <v>-0.03</v>
      </c>
      <c r="K17" s="998">
        <v>0.03</v>
      </c>
      <c r="L17" s="998">
        <v>-0.1</v>
      </c>
      <c r="M17" s="999">
        <v>-0.13</v>
      </c>
      <c r="N17" s="997"/>
      <c r="O17" s="998"/>
      <c r="P17" s="998"/>
      <c r="Q17" s="999"/>
      <c r="R17" s="997"/>
      <c r="S17" s="998"/>
      <c r="T17" s="998"/>
      <c r="U17" s="1000"/>
      <c r="V17" s="997"/>
      <c r="W17" s="998"/>
      <c r="X17" s="998"/>
      <c r="Y17" s="999"/>
      <c r="Z17" s="997">
        <v>0.66</v>
      </c>
      <c r="AA17" s="998">
        <v>0.88</v>
      </c>
      <c r="AB17" s="998">
        <v>1.97</v>
      </c>
      <c r="AC17" s="1000">
        <v>2.59</v>
      </c>
      <c r="AD17" s="1054"/>
      <c r="AE17" s="1055"/>
      <c r="AF17" s="1055"/>
      <c r="AG17" s="1056"/>
      <c r="AH17" s="1057">
        <v>6.25</v>
      </c>
      <c r="AI17" s="1058">
        <v>6.63</v>
      </c>
      <c r="AJ17" s="1058">
        <v>17.739999999999998</v>
      </c>
      <c r="AK17" s="1059">
        <v>20.87</v>
      </c>
      <c r="AL17" s="1057"/>
      <c r="AM17" s="1058"/>
      <c r="AN17" s="1058"/>
      <c r="AO17" s="1059">
        <v>0.02</v>
      </c>
      <c r="AP17" s="1057">
        <v>0.01</v>
      </c>
      <c r="AQ17" s="1058">
        <v>0.02</v>
      </c>
      <c r="AR17" s="1058">
        <v>0.03</v>
      </c>
      <c r="AS17" s="1059"/>
      <c r="AT17" s="1057"/>
      <c r="AU17" s="1058"/>
      <c r="AV17" s="1058"/>
      <c r="AW17" s="1059"/>
      <c r="AX17" s="1057"/>
      <c r="AY17" s="1058"/>
      <c r="AZ17" s="1058"/>
      <c r="BA17" s="1059"/>
      <c r="BB17" s="1007"/>
      <c r="BC17" s="998"/>
      <c r="BD17" s="998"/>
      <c r="BE17" s="1000"/>
      <c r="BF17" s="1007">
        <v>0.16</v>
      </c>
      <c r="BG17" s="998">
        <v>1.38E-2</v>
      </c>
      <c r="BH17" s="998">
        <v>0.54</v>
      </c>
      <c r="BI17" s="1000">
        <v>1.23E-2</v>
      </c>
      <c r="BJ17" s="1007"/>
      <c r="BK17" s="998"/>
      <c r="BL17" s="998"/>
      <c r="BM17" s="1000"/>
      <c r="BN17" s="1007">
        <v>-0.04</v>
      </c>
      <c r="BO17" s="998">
        <v>0.02</v>
      </c>
      <c r="BP17" s="998">
        <v>-0.17</v>
      </c>
      <c r="BQ17" s="1000">
        <v>-0.05</v>
      </c>
      <c r="BR17" s="1007"/>
      <c r="BS17" s="998"/>
      <c r="BT17" s="998"/>
      <c r="BU17" s="1000"/>
      <c r="BV17" s="1008"/>
      <c r="BW17" s="998"/>
      <c r="BX17" s="998"/>
      <c r="BY17" s="1000"/>
      <c r="BZ17" s="1009"/>
      <c r="CA17" s="1060"/>
      <c r="CB17" s="1060"/>
      <c r="CC17" s="1061"/>
      <c r="CD17" s="1010"/>
      <c r="CE17" s="1011"/>
      <c r="CF17" s="1011"/>
      <c r="CG17" s="1012"/>
      <c r="CH17" s="1013"/>
      <c r="CI17" s="1014"/>
      <c r="CJ17" s="1014"/>
      <c r="CK17" s="1015"/>
      <c r="CL17" s="1007"/>
      <c r="CM17" s="998"/>
      <c r="CN17" s="998"/>
      <c r="CO17" s="1000"/>
      <c r="CP17" s="1016">
        <f t="shared" si="2"/>
        <v>7.01</v>
      </c>
      <c r="CQ17" s="1016">
        <f t="shared" si="0"/>
        <v>7.593799999999999</v>
      </c>
      <c r="CR17" s="1016">
        <f t="shared" si="0"/>
        <v>19.989999999999998</v>
      </c>
      <c r="CS17" s="1016">
        <f t="shared" si="0"/>
        <v>23.2623</v>
      </c>
      <c r="CT17" s="1017"/>
      <c r="CU17" s="1014"/>
      <c r="CV17" s="1014"/>
      <c r="CW17" s="1015"/>
      <c r="CX17" s="1018">
        <f t="shared" si="3"/>
        <v>7.01</v>
      </c>
      <c r="CY17" s="1018">
        <f t="shared" si="1"/>
        <v>7.593799999999999</v>
      </c>
      <c r="CZ17" s="1018">
        <f t="shared" si="1"/>
        <v>19.989999999999998</v>
      </c>
      <c r="DA17" s="1019">
        <f t="shared" si="1"/>
        <v>23.2623</v>
      </c>
    </row>
    <row r="18" spans="1:105" s="946" customFormat="1" ht="18.75" thickBot="1" x14ac:dyDescent="0.4">
      <c r="A18" s="449" t="s">
        <v>17</v>
      </c>
      <c r="B18" s="971">
        <v>481</v>
      </c>
      <c r="C18" s="972">
        <v>286</v>
      </c>
      <c r="D18" s="972">
        <v>1107</v>
      </c>
      <c r="E18" s="973">
        <v>661</v>
      </c>
      <c r="F18" s="974">
        <v>23.46</v>
      </c>
      <c r="G18" s="975">
        <v>29.12</v>
      </c>
      <c r="H18" s="975">
        <v>66.34</v>
      </c>
      <c r="I18" s="975">
        <v>78.28</v>
      </c>
      <c r="J18" s="975">
        <v>29.93</v>
      </c>
      <c r="K18" s="975">
        <v>39.81</v>
      </c>
      <c r="L18" s="975">
        <v>95.2</v>
      </c>
      <c r="M18" s="976">
        <v>104.3</v>
      </c>
      <c r="N18" s="974">
        <v>434</v>
      </c>
      <c r="O18" s="975">
        <v>375</v>
      </c>
      <c r="P18" s="975">
        <v>1091</v>
      </c>
      <c r="Q18" s="976">
        <v>962</v>
      </c>
      <c r="R18" s="974">
        <v>154.19999999999999</v>
      </c>
      <c r="S18" s="975">
        <v>114.04</v>
      </c>
      <c r="T18" s="975">
        <v>417.41</v>
      </c>
      <c r="U18" s="977">
        <v>268.49</v>
      </c>
      <c r="V18" s="974">
        <v>203.83</v>
      </c>
      <c r="W18" s="975">
        <v>203.76</v>
      </c>
      <c r="X18" s="975">
        <v>809.78</v>
      </c>
      <c r="Y18" s="976">
        <v>551.83000000000004</v>
      </c>
      <c r="Z18" s="974">
        <v>67.77</v>
      </c>
      <c r="AA18" s="975">
        <v>91.36</v>
      </c>
      <c r="AB18" s="975">
        <v>250.53</v>
      </c>
      <c r="AC18" s="977">
        <v>232.47</v>
      </c>
      <c r="AD18" s="978">
        <v>82.15</v>
      </c>
      <c r="AE18" s="979">
        <v>56.66</v>
      </c>
      <c r="AF18" s="979">
        <v>212.13</v>
      </c>
      <c r="AG18" s="980">
        <v>130.66</v>
      </c>
      <c r="AH18" s="706">
        <v>157.13</v>
      </c>
      <c r="AI18" s="708">
        <v>144.19999999999999</v>
      </c>
      <c r="AJ18" s="708">
        <v>445.64</v>
      </c>
      <c r="AK18" s="707">
        <v>399.48</v>
      </c>
      <c r="AL18" s="706">
        <v>81.31</v>
      </c>
      <c r="AM18" s="708">
        <v>68.37</v>
      </c>
      <c r="AN18" s="708">
        <v>195.05</v>
      </c>
      <c r="AO18" s="707">
        <v>159.32</v>
      </c>
      <c r="AP18" s="706">
        <v>1885.57</v>
      </c>
      <c r="AQ18" s="708">
        <v>1431.31</v>
      </c>
      <c r="AR18" s="708">
        <v>4977.7299999999996</v>
      </c>
      <c r="AS18" s="707">
        <v>3490.07</v>
      </c>
      <c r="AT18" s="706">
        <v>1875.2</v>
      </c>
      <c r="AU18" s="708">
        <v>2181.4</v>
      </c>
      <c r="AV18" s="708">
        <v>5477.3</v>
      </c>
      <c r="AW18" s="707">
        <v>5997.2</v>
      </c>
      <c r="AX18" s="709">
        <v>157.88999999999999</v>
      </c>
      <c r="AY18" s="981">
        <v>184.23</v>
      </c>
      <c r="AZ18" s="981">
        <v>412.87</v>
      </c>
      <c r="BA18" s="710">
        <v>488.86</v>
      </c>
      <c r="BB18" s="982">
        <v>162.11000000000001</v>
      </c>
      <c r="BC18" s="975">
        <v>145.01</v>
      </c>
      <c r="BD18" s="975">
        <v>424.24</v>
      </c>
      <c r="BE18" s="977">
        <v>386.53</v>
      </c>
      <c r="BF18" s="982">
        <v>491.21</v>
      </c>
      <c r="BG18" s="975">
        <v>430.99</v>
      </c>
      <c r="BH18" s="975">
        <v>1144.95</v>
      </c>
      <c r="BI18" s="977">
        <v>1038.52</v>
      </c>
      <c r="BJ18" s="982">
        <v>1092.56</v>
      </c>
      <c r="BK18" s="975">
        <v>974.77</v>
      </c>
      <c r="BL18" s="975">
        <v>2816.3</v>
      </c>
      <c r="BM18" s="977">
        <v>2397.1799999999998</v>
      </c>
      <c r="BN18" s="982">
        <v>338.86</v>
      </c>
      <c r="BO18" s="975">
        <v>320.13</v>
      </c>
      <c r="BP18" s="975">
        <v>887.44</v>
      </c>
      <c r="BQ18" s="977">
        <v>806.55</v>
      </c>
      <c r="BR18" s="982">
        <v>225.31</v>
      </c>
      <c r="BS18" s="975">
        <v>168.06</v>
      </c>
      <c r="BT18" s="975">
        <v>631.48</v>
      </c>
      <c r="BU18" s="977">
        <v>480.27</v>
      </c>
      <c r="BV18" s="983"/>
      <c r="BW18" s="975"/>
      <c r="BX18" s="975"/>
      <c r="BY18" s="977"/>
      <c r="BZ18" s="984">
        <v>2878</v>
      </c>
      <c r="CA18" s="985">
        <v>2457</v>
      </c>
      <c r="CB18" s="985">
        <v>6597</v>
      </c>
      <c r="CC18" s="986">
        <v>5789</v>
      </c>
      <c r="CD18" s="987">
        <v>115.47</v>
      </c>
      <c r="CE18" s="988">
        <v>115.62</v>
      </c>
      <c r="CF18" s="988">
        <v>331.14</v>
      </c>
      <c r="CG18" s="989">
        <v>306.33</v>
      </c>
      <c r="CH18" s="990">
        <f>15907.56/100</f>
        <v>159.07560000000001</v>
      </c>
      <c r="CI18" s="991">
        <f>18574.13/100</f>
        <v>185.74130000000002</v>
      </c>
      <c r="CJ18" s="991">
        <f>38245.55/100</f>
        <v>382.45550000000003</v>
      </c>
      <c r="CK18" s="992">
        <f>42770.01/100</f>
        <v>427.70010000000002</v>
      </c>
      <c r="CL18" s="982">
        <v>571.42999999999995</v>
      </c>
      <c r="CM18" s="975">
        <v>304.85000000000002</v>
      </c>
      <c r="CN18" s="975">
        <v>1308.82</v>
      </c>
      <c r="CO18" s="977">
        <v>786.77</v>
      </c>
      <c r="CP18" s="982">
        <f t="shared" si="2"/>
        <v>11667.4656</v>
      </c>
      <c r="CQ18" s="982">
        <f t="shared" si="0"/>
        <v>10307.431300000002</v>
      </c>
      <c r="CR18" s="982">
        <f t="shared" si="0"/>
        <v>30081.805499999999</v>
      </c>
      <c r="CS18" s="982">
        <f t="shared" si="0"/>
        <v>25942.810099999999</v>
      </c>
      <c r="CT18" s="974">
        <f>CT16+CT17</f>
        <v>13100.4</v>
      </c>
      <c r="CU18" s="974">
        <f t="shared" ref="CU18:CW18" si="5">CU16+CU17</f>
        <v>15730.549999999997</v>
      </c>
      <c r="CV18" s="974">
        <f t="shared" si="5"/>
        <v>33477.80999999999</v>
      </c>
      <c r="CW18" s="974">
        <f t="shared" si="5"/>
        <v>36790.03</v>
      </c>
      <c r="CX18" s="974">
        <f t="shared" si="3"/>
        <v>24767.865599999997</v>
      </c>
      <c r="CY18" s="974">
        <f t="shared" si="1"/>
        <v>26037.981299999999</v>
      </c>
      <c r="CZ18" s="974">
        <f t="shared" si="1"/>
        <v>63559.615499999985</v>
      </c>
      <c r="DA18" s="993">
        <f t="shared" si="1"/>
        <v>62732.840100000001</v>
      </c>
    </row>
    <row r="19" spans="1:105" x14ac:dyDescent="0.3">
      <c r="CL19" s="254"/>
      <c r="CM19" s="254"/>
      <c r="CN19" s="254"/>
      <c r="CO19" s="254"/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20"/>
  <sheetViews>
    <sheetView workbookViewId="0">
      <pane xSplit="1" topLeftCell="B1" activePane="topRight" state="frozen"/>
      <selection pane="topRight" activeCell="B4" sqref="B4:E4"/>
    </sheetView>
  </sheetViews>
  <sheetFormatPr defaultRowHeight="14.25" x14ac:dyDescent="0.3"/>
  <cols>
    <col min="1" max="1" width="22.28515625" style="23" bestFit="1" customWidth="1"/>
    <col min="2" max="3" width="11.42578125" style="23" bestFit="1" customWidth="1"/>
    <col min="4" max="5" width="12.42578125" style="23" bestFit="1" customWidth="1"/>
    <col min="6" max="7" width="11.42578125" style="23" bestFit="1" customWidth="1"/>
    <col min="8" max="9" width="12.42578125" style="23" bestFit="1" customWidth="1"/>
    <col min="10" max="11" width="11.42578125" style="23" bestFit="1" customWidth="1"/>
    <col min="12" max="13" width="12.42578125" style="23" bestFit="1" customWidth="1"/>
    <col min="14" max="15" width="11.42578125" style="23" bestFit="1" customWidth="1"/>
    <col min="16" max="17" width="12.42578125" style="23" bestFit="1" customWidth="1"/>
    <col min="18" max="19" width="11.42578125" style="23" bestFit="1" customWidth="1"/>
    <col min="20" max="21" width="12.42578125" style="23" bestFit="1" customWidth="1"/>
    <col min="22" max="23" width="11.42578125" style="23" bestFit="1" customWidth="1"/>
    <col min="24" max="25" width="12.42578125" style="23" bestFit="1" customWidth="1"/>
    <col min="26" max="27" width="11.42578125" style="23" bestFit="1" customWidth="1"/>
    <col min="28" max="29" width="12.42578125" style="23" bestFit="1" customWidth="1"/>
    <col min="30" max="31" width="11.42578125" style="23" bestFit="1" customWidth="1"/>
    <col min="32" max="33" width="12.42578125" style="23" bestFit="1" customWidth="1"/>
    <col min="34" max="35" width="11.42578125" style="23" bestFit="1" customWidth="1"/>
    <col min="36" max="37" width="12.42578125" style="23" bestFit="1" customWidth="1"/>
    <col min="38" max="39" width="11.42578125" style="23" bestFit="1" customWidth="1"/>
    <col min="40" max="41" width="12.42578125" style="23" bestFit="1" customWidth="1"/>
    <col min="42" max="43" width="11.42578125" style="23" bestFit="1" customWidth="1"/>
    <col min="44" max="45" width="12.42578125" style="23" bestFit="1" customWidth="1"/>
    <col min="46" max="47" width="11.42578125" style="23" bestFit="1" customWidth="1"/>
    <col min="48" max="49" width="12.42578125" style="23" bestFit="1" customWidth="1"/>
    <col min="50" max="51" width="11.42578125" style="75" bestFit="1" customWidth="1"/>
    <col min="52" max="53" width="12.42578125" style="75" bestFit="1" customWidth="1"/>
    <col min="54" max="55" width="11.42578125" style="23" bestFit="1" customWidth="1"/>
    <col min="56" max="57" width="12.42578125" style="23" bestFit="1" customWidth="1"/>
    <col min="58" max="59" width="11.42578125" style="23" bestFit="1" customWidth="1"/>
    <col min="60" max="61" width="12.42578125" style="23" bestFit="1" customWidth="1"/>
    <col min="62" max="63" width="11.42578125" style="23" bestFit="1" customWidth="1"/>
    <col min="64" max="65" width="12.42578125" style="23" bestFit="1" customWidth="1"/>
    <col min="66" max="67" width="11.42578125" style="23" bestFit="1" customWidth="1"/>
    <col min="68" max="69" width="12.42578125" style="23" bestFit="1" customWidth="1"/>
    <col min="70" max="71" width="11.42578125" style="23" bestFit="1" customWidth="1"/>
    <col min="72" max="73" width="12.42578125" style="23" bestFit="1" customWidth="1"/>
    <col min="74" max="75" width="11.42578125" style="23" bestFit="1" customWidth="1"/>
    <col min="76" max="77" width="12.42578125" style="23" bestFit="1" customWidth="1"/>
    <col min="78" max="79" width="11.42578125" style="23" bestFit="1" customWidth="1"/>
    <col min="80" max="81" width="12.42578125" style="23" bestFit="1" customWidth="1"/>
    <col min="82" max="82" width="11.42578125" style="23" bestFit="1" customWidth="1"/>
    <col min="83" max="83" width="11.42578125" style="23" customWidth="1"/>
    <col min="84" max="85" width="12.42578125" style="23" bestFit="1" customWidth="1"/>
    <col min="86" max="87" width="11.42578125" style="23" bestFit="1" customWidth="1"/>
    <col min="88" max="89" width="12.42578125" style="23" bestFit="1" customWidth="1"/>
    <col min="90" max="91" width="11.42578125" style="23" bestFit="1" customWidth="1"/>
    <col min="92" max="93" width="12.42578125" style="23" bestFit="1" customWidth="1"/>
    <col min="94" max="95" width="11.42578125" style="23" bestFit="1" customWidth="1"/>
    <col min="96" max="97" width="12.42578125" style="23" bestFit="1" customWidth="1"/>
    <col min="98" max="99" width="11.42578125" style="23" bestFit="1" customWidth="1"/>
    <col min="100" max="101" width="12.42578125" style="23" bestFit="1" customWidth="1"/>
    <col min="102" max="103" width="11.42578125" style="23" bestFit="1" customWidth="1"/>
    <col min="104" max="105" width="12.42578125" style="23" bestFit="1" customWidth="1"/>
    <col min="106" max="106" width="9.5703125" style="23" bestFit="1" customWidth="1"/>
    <col min="107" max="16384" width="9.140625" style="23"/>
  </cols>
  <sheetData>
    <row r="1" spans="1:106" ht="28.5" customHeight="1" x14ac:dyDescent="0.3">
      <c r="A1" s="1500" t="s">
        <v>257</v>
      </c>
      <c r="B1" s="1500"/>
      <c r="C1" s="1500"/>
      <c r="D1" s="1500"/>
      <c r="E1" s="1500"/>
      <c r="F1" s="1500"/>
      <c r="G1" s="1500"/>
      <c r="H1" s="1500"/>
      <c r="I1" s="1500"/>
      <c r="J1" s="1500"/>
      <c r="K1" s="1500"/>
      <c r="L1" s="1500"/>
      <c r="M1" s="1500"/>
      <c r="N1" s="1500"/>
      <c r="O1" s="1500"/>
      <c r="P1" s="1500"/>
      <c r="Q1" s="1500"/>
      <c r="R1" s="1500"/>
      <c r="S1" s="1500"/>
      <c r="T1" s="1500"/>
      <c r="U1" s="1500"/>
      <c r="V1" s="1500"/>
      <c r="W1" s="1500"/>
      <c r="X1" s="1500"/>
      <c r="Y1" s="1500"/>
      <c r="Z1" s="1500"/>
      <c r="AA1" s="1500"/>
      <c r="AB1" s="1500"/>
      <c r="AC1" s="1500"/>
      <c r="AD1" s="1500"/>
      <c r="AE1" s="1500"/>
      <c r="AF1" s="1500"/>
      <c r="AG1" s="1500"/>
      <c r="AH1" s="1500"/>
      <c r="AI1" s="1500"/>
      <c r="AJ1" s="1500"/>
      <c r="AK1" s="1500"/>
      <c r="AL1" s="1500"/>
      <c r="AM1" s="1500"/>
      <c r="AN1" s="1500"/>
      <c r="AO1" s="1500"/>
      <c r="AP1" s="1500"/>
      <c r="AQ1" s="1500"/>
      <c r="AR1" s="1500"/>
      <c r="AS1" s="1500"/>
      <c r="AT1" s="1500"/>
      <c r="AU1" s="1500"/>
      <c r="AV1" s="1500"/>
      <c r="AW1" s="1500"/>
      <c r="AX1" s="1500"/>
      <c r="AY1" s="1500"/>
      <c r="AZ1" s="1500"/>
      <c r="BA1" s="1500"/>
      <c r="BB1" s="1500"/>
      <c r="BC1" s="1500"/>
      <c r="BD1" s="1500"/>
      <c r="BE1" s="1500"/>
      <c r="BF1" s="1500"/>
      <c r="BG1" s="1500"/>
      <c r="BH1" s="1500"/>
      <c r="BI1" s="1500"/>
      <c r="BJ1" s="1500"/>
      <c r="BK1" s="1500"/>
      <c r="BL1" s="1500"/>
      <c r="BM1" s="1500"/>
      <c r="BN1" s="1500"/>
      <c r="BO1" s="1500"/>
      <c r="BP1" s="1500"/>
      <c r="BQ1" s="1500"/>
      <c r="BR1" s="1500"/>
      <c r="BS1" s="1500"/>
      <c r="BT1" s="1500"/>
      <c r="BU1" s="1500"/>
      <c r="BV1" s="1500"/>
      <c r="BW1" s="1500"/>
      <c r="BX1" s="1500"/>
      <c r="BY1" s="1500"/>
      <c r="BZ1" s="1500"/>
      <c r="CA1" s="1500"/>
      <c r="CB1" s="1500"/>
      <c r="CC1" s="1500"/>
      <c r="CD1" s="1500"/>
      <c r="CE1" s="1500"/>
      <c r="CF1" s="1500"/>
      <c r="CG1" s="1500"/>
      <c r="CH1" s="1500"/>
      <c r="CI1" s="1500"/>
      <c r="CJ1" s="1500"/>
      <c r="CK1" s="1500"/>
      <c r="CL1" s="1500"/>
      <c r="CM1" s="1500"/>
      <c r="CN1" s="1500"/>
      <c r="CO1" s="1500"/>
      <c r="CP1" s="1500"/>
      <c r="CQ1" s="1500"/>
      <c r="CR1" s="1500"/>
      <c r="CS1" s="1500"/>
      <c r="CT1" s="1500"/>
      <c r="CU1" s="1500"/>
      <c r="CV1" s="1500"/>
      <c r="CW1" s="1500"/>
      <c r="CX1" s="1500"/>
      <c r="CY1" s="1500"/>
      <c r="CZ1" s="127"/>
      <c r="DA1" s="127"/>
    </row>
    <row r="2" spans="1:106" ht="15" thickBot="1" x14ac:dyDescent="0.35">
      <c r="A2" s="1409"/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09"/>
      <c r="AB2" s="1409"/>
      <c r="AC2" s="1409"/>
      <c r="AD2" s="1409"/>
      <c r="AE2" s="1409"/>
      <c r="AF2" s="1409"/>
      <c r="AG2" s="1409"/>
      <c r="AH2" s="1409"/>
      <c r="AI2" s="1409"/>
      <c r="AJ2" s="1409"/>
      <c r="AK2" s="1409"/>
      <c r="AL2" s="1409"/>
      <c r="AM2" s="1409"/>
      <c r="AN2" s="1409"/>
      <c r="AO2" s="1409"/>
      <c r="AP2" s="1409"/>
      <c r="AQ2" s="1409"/>
      <c r="AR2" s="1409"/>
      <c r="AS2" s="1409"/>
      <c r="AT2" s="1409"/>
      <c r="AU2" s="1409"/>
      <c r="AV2" s="1409"/>
      <c r="AW2" s="1409"/>
      <c r="AX2" s="1409"/>
      <c r="AY2" s="1409"/>
      <c r="AZ2" s="1409"/>
      <c r="BA2" s="1409"/>
      <c r="BB2" s="1409"/>
      <c r="BC2" s="1409"/>
      <c r="BD2" s="1409"/>
      <c r="BE2" s="1409"/>
      <c r="BF2" s="1409"/>
      <c r="BG2" s="1409"/>
      <c r="BH2" s="1409"/>
      <c r="BI2" s="1409"/>
      <c r="BJ2" s="1409"/>
      <c r="BK2" s="1409"/>
      <c r="BL2" s="1409"/>
      <c r="BM2" s="1409"/>
      <c r="BN2" s="1409"/>
      <c r="BO2" s="1409"/>
      <c r="BP2" s="1409"/>
      <c r="BQ2" s="1409"/>
      <c r="BR2" s="1409"/>
      <c r="BS2" s="1409"/>
      <c r="BT2" s="1409"/>
      <c r="BU2" s="1409"/>
      <c r="BV2" s="1409"/>
      <c r="BW2" s="1409"/>
      <c r="BX2" s="1409"/>
      <c r="BY2" s="1409"/>
      <c r="BZ2" s="1409"/>
      <c r="CA2" s="1409"/>
      <c r="CB2" s="1409"/>
      <c r="CC2" s="1409"/>
      <c r="CD2" s="1409"/>
      <c r="CE2" s="1409"/>
      <c r="CF2" s="1409"/>
      <c r="CG2" s="1409"/>
      <c r="CH2" s="1409"/>
      <c r="CI2" s="1409"/>
      <c r="CJ2" s="1409"/>
      <c r="CK2" s="1409"/>
      <c r="CL2" s="1409"/>
      <c r="CM2" s="1409"/>
      <c r="CN2" s="1409"/>
      <c r="CO2" s="1409"/>
      <c r="CP2" s="1409"/>
      <c r="CQ2" s="1409"/>
      <c r="CR2" s="1409"/>
      <c r="CS2" s="1409"/>
      <c r="CT2" s="1409"/>
      <c r="CU2" s="1409"/>
      <c r="CV2" s="1409"/>
      <c r="CW2" s="1409"/>
      <c r="CX2" s="1409"/>
      <c r="CY2" s="1409"/>
      <c r="CZ2" s="128"/>
      <c r="DA2" s="128"/>
    </row>
    <row r="3" spans="1:106" x14ac:dyDescent="0.3">
      <c r="A3" s="1427" t="s">
        <v>20</v>
      </c>
      <c r="B3" s="1502" t="s">
        <v>258</v>
      </c>
      <c r="C3" s="1503"/>
      <c r="D3" s="1503"/>
      <c r="E3" s="1504"/>
      <c r="F3" s="1434" t="s">
        <v>259</v>
      </c>
      <c r="G3" s="1434"/>
      <c r="H3" s="1434"/>
      <c r="I3" s="1435"/>
      <c r="J3" s="1434" t="s">
        <v>260</v>
      </c>
      <c r="K3" s="1434"/>
      <c r="L3" s="1434"/>
      <c r="M3" s="1435"/>
      <c r="N3" s="1433" t="s">
        <v>261</v>
      </c>
      <c r="O3" s="1434"/>
      <c r="P3" s="1434"/>
      <c r="Q3" s="1435"/>
      <c r="R3" s="1434" t="s">
        <v>262</v>
      </c>
      <c r="S3" s="1434"/>
      <c r="T3" s="1434"/>
      <c r="U3" s="1435"/>
      <c r="V3" s="1434" t="s">
        <v>263</v>
      </c>
      <c r="W3" s="1434"/>
      <c r="X3" s="1434"/>
      <c r="Y3" s="1435"/>
      <c r="Z3" s="1434" t="s">
        <v>264</v>
      </c>
      <c r="AA3" s="1434"/>
      <c r="AB3" s="1434"/>
      <c r="AC3" s="1435"/>
      <c r="AD3" s="1434" t="s">
        <v>265</v>
      </c>
      <c r="AE3" s="1434"/>
      <c r="AF3" s="1434"/>
      <c r="AG3" s="1435"/>
      <c r="AH3" s="1434" t="s">
        <v>266</v>
      </c>
      <c r="AI3" s="1434"/>
      <c r="AJ3" s="1434"/>
      <c r="AK3" s="1435"/>
      <c r="AL3" s="1434" t="s">
        <v>267</v>
      </c>
      <c r="AM3" s="1434"/>
      <c r="AN3" s="1434"/>
      <c r="AO3" s="1435"/>
      <c r="AP3" s="1434" t="s">
        <v>268</v>
      </c>
      <c r="AQ3" s="1434"/>
      <c r="AR3" s="1434"/>
      <c r="AS3" s="1435"/>
      <c r="AT3" s="1433" t="s">
        <v>269</v>
      </c>
      <c r="AU3" s="1434"/>
      <c r="AV3" s="1434"/>
      <c r="AW3" s="1435"/>
      <c r="AX3" s="1339" t="s">
        <v>270</v>
      </c>
      <c r="AY3" s="1340"/>
      <c r="AZ3" s="1340"/>
      <c r="BA3" s="1349"/>
      <c r="BB3" s="1434" t="s">
        <v>271</v>
      </c>
      <c r="BC3" s="1434"/>
      <c r="BD3" s="1434"/>
      <c r="BE3" s="1435"/>
      <c r="BF3" s="1447" t="s">
        <v>272</v>
      </c>
      <c r="BG3" s="1447"/>
      <c r="BH3" s="1447"/>
      <c r="BI3" s="1448"/>
      <c r="BJ3" s="1434" t="s">
        <v>273</v>
      </c>
      <c r="BK3" s="1434"/>
      <c r="BL3" s="1434"/>
      <c r="BM3" s="1435"/>
      <c r="BN3" s="1434" t="s">
        <v>274</v>
      </c>
      <c r="BO3" s="1434"/>
      <c r="BP3" s="1434"/>
      <c r="BQ3" s="1435"/>
      <c r="BR3" s="1434" t="s">
        <v>275</v>
      </c>
      <c r="BS3" s="1434"/>
      <c r="BT3" s="1434"/>
      <c r="BU3" s="1435"/>
      <c r="BV3" s="1447" t="s">
        <v>276</v>
      </c>
      <c r="BW3" s="1447"/>
      <c r="BX3" s="1447"/>
      <c r="BY3" s="1448"/>
      <c r="BZ3" s="1434" t="s">
        <v>277</v>
      </c>
      <c r="CA3" s="1434"/>
      <c r="CB3" s="1434"/>
      <c r="CC3" s="1435"/>
      <c r="CD3" s="1469" t="s">
        <v>278</v>
      </c>
      <c r="CE3" s="1470"/>
      <c r="CF3" s="1470"/>
      <c r="CG3" s="1471"/>
      <c r="CH3" s="1469" t="s">
        <v>279</v>
      </c>
      <c r="CI3" s="1470"/>
      <c r="CJ3" s="1470"/>
      <c r="CK3" s="1471"/>
      <c r="CL3" s="1469" t="s">
        <v>280</v>
      </c>
      <c r="CM3" s="1470"/>
      <c r="CN3" s="1470"/>
      <c r="CO3" s="1508"/>
      <c r="CP3" s="1509" t="s">
        <v>2</v>
      </c>
      <c r="CQ3" s="1470"/>
      <c r="CR3" s="1470"/>
      <c r="CS3" s="1471"/>
      <c r="CT3" s="1505" t="s">
        <v>281</v>
      </c>
      <c r="CU3" s="1506"/>
      <c r="CV3" s="1506"/>
      <c r="CW3" s="1507"/>
      <c r="CX3" s="1505" t="s">
        <v>3</v>
      </c>
      <c r="CY3" s="1506"/>
      <c r="CZ3" s="1506"/>
      <c r="DA3" s="1507"/>
    </row>
    <row r="4" spans="1:106" ht="15" thickBot="1" x14ac:dyDescent="0.35">
      <c r="A4" s="1501"/>
      <c r="B4" s="131" t="s">
        <v>4</v>
      </c>
      <c r="C4" s="132" t="s">
        <v>5</v>
      </c>
      <c r="D4" s="132" t="s">
        <v>6</v>
      </c>
      <c r="E4" s="133" t="s">
        <v>7</v>
      </c>
      <c r="F4" s="131" t="s">
        <v>4</v>
      </c>
      <c r="G4" s="132" t="s">
        <v>5</v>
      </c>
      <c r="H4" s="132" t="s">
        <v>6</v>
      </c>
      <c r="I4" s="133" t="s">
        <v>7</v>
      </c>
      <c r="J4" s="131" t="s">
        <v>4</v>
      </c>
      <c r="K4" s="132" t="s">
        <v>5</v>
      </c>
      <c r="L4" s="132" t="s">
        <v>6</v>
      </c>
      <c r="M4" s="133" t="s">
        <v>7</v>
      </c>
      <c r="N4" s="131" t="s">
        <v>4</v>
      </c>
      <c r="O4" s="132" t="s">
        <v>5</v>
      </c>
      <c r="P4" s="132" t="s">
        <v>6</v>
      </c>
      <c r="Q4" s="133" t="s">
        <v>7</v>
      </c>
      <c r="R4" s="131" t="s">
        <v>4</v>
      </c>
      <c r="S4" s="132" t="s">
        <v>5</v>
      </c>
      <c r="T4" s="132" t="s">
        <v>6</v>
      </c>
      <c r="U4" s="133" t="s">
        <v>7</v>
      </c>
      <c r="V4" s="131" t="s">
        <v>4</v>
      </c>
      <c r="W4" s="132" t="s">
        <v>5</v>
      </c>
      <c r="X4" s="132" t="s">
        <v>6</v>
      </c>
      <c r="Y4" s="133" t="s">
        <v>7</v>
      </c>
      <c r="Z4" s="131" t="s">
        <v>4</v>
      </c>
      <c r="AA4" s="132" t="s">
        <v>5</v>
      </c>
      <c r="AB4" s="132" t="s">
        <v>6</v>
      </c>
      <c r="AC4" s="133" t="s">
        <v>7</v>
      </c>
      <c r="AD4" s="131" t="s">
        <v>4</v>
      </c>
      <c r="AE4" s="132" t="s">
        <v>5</v>
      </c>
      <c r="AF4" s="132" t="s">
        <v>6</v>
      </c>
      <c r="AG4" s="133" t="s">
        <v>7</v>
      </c>
      <c r="AH4" s="131" t="s">
        <v>4</v>
      </c>
      <c r="AI4" s="132" t="s">
        <v>5</v>
      </c>
      <c r="AJ4" s="132" t="s">
        <v>6</v>
      </c>
      <c r="AK4" s="133" t="s">
        <v>7</v>
      </c>
      <c r="AL4" s="131" t="s">
        <v>4</v>
      </c>
      <c r="AM4" s="132" t="s">
        <v>5</v>
      </c>
      <c r="AN4" s="132" t="s">
        <v>6</v>
      </c>
      <c r="AO4" s="133" t="s">
        <v>7</v>
      </c>
      <c r="AP4" s="131" t="s">
        <v>4</v>
      </c>
      <c r="AQ4" s="132" t="s">
        <v>5</v>
      </c>
      <c r="AR4" s="132" t="s">
        <v>6</v>
      </c>
      <c r="AS4" s="133" t="s">
        <v>7</v>
      </c>
      <c r="AT4" s="131" t="s">
        <v>4</v>
      </c>
      <c r="AU4" s="132" t="s">
        <v>5</v>
      </c>
      <c r="AV4" s="132" t="s">
        <v>6</v>
      </c>
      <c r="AW4" s="133" t="s">
        <v>7</v>
      </c>
      <c r="AX4" s="131" t="s">
        <v>4</v>
      </c>
      <c r="AY4" s="132" t="s">
        <v>5</v>
      </c>
      <c r="AZ4" s="132" t="s">
        <v>6</v>
      </c>
      <c r="BA4" s="133" t="s">
        <v>7</v>
      </c>
      <c r="BB4" s="131" t="s">
        <v>4</v>
      </c>
      <c r="BC4" s="132" t="s">
        <v>5</v>
      </c>
      <c r="BD4" s="132" t="s">
        <v>6</v>
      </c>
      <c r="BE4" s="133" t="s">
        <v>7</v>
      </c>
      <c r="BF4" s="131" t="s">
        <v>4</v>
      </c>
      <c r="BG4" s="132" t="s">
        <v>5</v>
      </c>
      <c r="BH4" s="132" t="s">
        <v>6</v>
      </c>
      <c r="BI4" s="133" t="s">
        <v>7</v>
      </c>
      <c r="BJ4" s="131" t="s">
        <v>4</v>
      </c>
      <c r="BK4" s="132" t="s">
        <v>5</v>
      </c>
      <c r="BL4" s="132" t="s">
        <v>6</v>
      </c>
      <c r="BM4" s="133" t="s">
        <v>7</v>
      </c>
      <c r="BN4" s="131" t="s">
        <v>4</v>
      </c>
      <c r="BO4" s="132" t="s">
        <v>5</v>
      </c>
      <c r="BP4" s="132" t="s">
        <v>6</v>
      </c>
      <c r="BQ4" s="133" t="s">
        <v>7</v>
      </c>
      <c r="BR4" s="131" t="s">
        <v>4</v>
      </c>
      <c r="BS4" s="132" t="s">
        <v>5</v>
      </c>
      <c r="BT4" s="132" t="s">
        <v>6</v>
      </c>
      <c r="BU4" s="133" t="s">
        <v>7</v>
      </c>
      <c r="BV4" s="131" t="s">
        <v>4</v>
      </c>
      <c r="BW4" s="132" t="s">
        <v>5</v>
      </c>
      <c r="BX4" s="132" t="s">
        <v>6</v>
      </c>
      <c r="BY4" s="133" t="s">
        <v>7</v>
      </c>
      <c r="BZ4" s="131" t="s">
        <v>4</v>
      </c>
      <c r="CA4" s="132" t="s">
        <v>5</v>
      </c>
      <c r="CB4" s="132" t="s">
        <v>6</v>
      </c>
      <c r="CC4" s="133" t="s">
        <v>7</v>
      </c>
      <c r="CD4" s="131" t="s">
        <v>4</v>
      </c>
      <c r="CE4" s="132" t="s">
        <v>5</v>
      </c>
      <c r="CF4" s="132" t="s">
        <v>6</v>
      </c>
      <c r="CG4" s="133" t="s">
        <v>7</v>
      </c>
      <c r="CH4" s="131" t="s">
        <v>4</v>
      </c>
      <c r="CI4" s="132" t="s">
        <v>5</v>
      </c>
      <c r="CJ4" s="132" t="s">
        <v>6</v>
      </c>
      <c r="CK4" s="133" t="s">
        <v>7</v>
      </c>
      <c r="CL4" s="131" t="s">
        <v>4</v>
      </c>
      <c r="CM4" s="132" t="s">
        <v>5</v>
      </c>
      <c r="CN4" s="132" t="s">
        <v>6</v>
      </c>
      <c r="CO4" s="133" t="s">
        <v>7</v>
      </c>
      <c r="CP4" s="131" t="s">
        <v>4</v>
      </c>
      <c r="CQ4" s="132" t="s">
        <v>5</v>
      </c>
      <c r="CR4" s="132" t="s">
        <v>6</v>
      </c>
      <c r="CS4" s="133" t="s">
        <v>7</v>
      </c>
      <c r="CT4" s="131" t="s">
        <v>4</v>
      </c>
      <c r="CU4" s="132" t="s">
        <v>5</v>
      </c>
      <c r="CV4" s="132" t="s">
        <v>6</v>
      </c>
      <c r="CW4" s="133" t="s">
        <v>7</v>
      </c>
      <c r="CX4" s="131" t="s">
        <v>4</v>
      </c>
      <c r="CY4" s="132" t="s">
        <v>5</v>
      </c>
      <c r="CZ4" s="132" t="s">
        <v>6</v>
      </c>
      <c r="DA4" s="133" t="s">
        <v>7</v>
      </c>
    </row>
    <row r="5" spans="1:106" x14ac:dyDescent="0.3">
      <c r="A5" s="134" t="s">
        <v>8</v>
      </c>
      <c r="B5" s="135">
        <v>38301</v>
      </c>
      <c r="C5" s="136">
        <v>41446</v>
      </c>
      <c r="D5" s="136">
        <v>110609</v>
      </c>
      <c r="E5" s="137">
        <v>117551</v>
      </c>
      <c r="F5" s="138">
        <v>-2</v>
      </c>
      <c r="G5" s="139">
        <v>10</v>
      </c>
      <c r="H5" s="139">
        <v>-9</v>
      </c>
      <c r="I5" s="140">
        <v>-32</v>
      </c>
      <c r="J5" s="138">
        <v>1992</v>
      </c>
      <c r="K5" s="139">
        <v>3990</v>
      </c>
      <c r="L5" s="139">
        <v>6542</v>
      </c>
      <c r="M5" s="140">
        <v>11711</v>
      </c>
      <c r="N5" s="141">
        <v>37133</v>
      </c>
      <c r="O5" s="139">
        <v>40824</v>
      </c>
      <c r="P5" s="139">
        <v>107277</v>
      </c>
      <c r="Q5" s="140">
        <v>127903</v>
      </c>
      <c r="R5" s="138">
        <v>18208</v>
      </c>
      <c r="S5" s="139">
        <v>13073</v>
      </c>
      <c r="T5" s="139">
        <v>48288</v>
      </c>
      <c r="U5" s="140">
        <v>31667</v>
      </c>
      <c r="V5" s="142"/>
      <c r="W5" s="123"/>
      <c r="X5" s="123"/>
      <c r="Y5" s="143"/>
      <c r="Z5" s="138">
        <v>5223</v>
      </c>
      <c r="AA5" s="139">
        <v>7553</v>
      </c>
      <c r="AB5" s="139">
        <v>16332</v>
      </c>
      <c r="AC5" s="140">
        <v>19263</v>
      </c>
      <c r="AD5" s="138">
        <v>11222</v>
      </c>
      <c r="AE5" s="139">
        <v>10088</v>
      </c>
      <c r="AF5" s="139">
        <v>28923</v>
      </c>
      <c r="AG5" s="140">
        <v>24380</v>
      </c>
      <c r="AH5" s="138">
        <v>19995</v>
      </c>
      <c r="AI5" s="139">
        <v>23121</v>
      </c>
      <c r="AJ5" s="139">
        <v>57693</v>
      </c>
      <c r="AK5" s="140">
        <v>66545</v>
      </c>
      <c r="AL5" s="138">
        <v>2651</v>
      </c>
      <c r="AM5" s="139">
        <v>3825</v>
      </c>
      <c r="AN5" s="139">
        <v>7771</v>
      </c>
      <c r="AO5" s="140">
        <v>9722</v>
      </c>
      <c r="AP5" s="138">
        <v>33487</v>
      </c>
      <c r="AQ5" s="139">
        <v>37245</v>
      </c>
      <c r="AR5" s="139">
        <v>95931</v>
      </c>
      <c r="AS5" s="140">
        <v>89801</v>
      </c>
      <c r="AT5" s="138">
        <v>45853</v>
      </c>
      <c r="AU5" s="139">
        <v>49164</v>
      </c>
      <c r="AV5" s="139">
        <v>125822</v>
      </c>
      <c r="AW5" s="140">
        <v>146604</v>
      </c>
      <c r="AX5" s="144">
        <v>1830</v>
      </c>
      <c r="AY5" s="120">
        <v>1723</v>
      </c>
      <c r="AZ5" s="120">
        <v>7199</v>
      </c>
      <c r="BA5" s="145">
        <v>6755</v>
      </c>
      <c r="BB5" s="138">
        <v>1254</v>
      </c>
      <c r="BC5" s="139">
        <v>1540</v>
      </c>
      <c r="BD5" s="139">
        <v>3698</v>
      </c>
      <c r="BE5" s="140">
        <v>4337</v>
      </c>
      <c r="BF5" s="138">
        <v>41357</v>
      </c>
      <c r="BG5" s="139">
        <v>35350</v>
      </c>
      <c r="BH5" s="139">
        <v>104771</v>
      </c>
      <c r="BI5" s="140">
        <v>97251</v>
      </c>
      <c r="BJ5" s="138">
        <v>34113</v>
      </c>
      <c r="BK5" s="139">
        <v>30353</v>
      </c>
      <c r="BL5" s="139">
        <v>104397</v>
      </c>
      <c r="BM5" s="140">
        <v>87750</v>
      </c>
      <c r="BN5" s="138">
        <v>1997</v>
      </c>
      <c r="BO5" s="139">
        <v>2279</v>
      </c>
      <c r="BP5" s="139">
        <v>5788</v>
      </c>
      <c r="BQ5" s="140">
        <v>5884</v>
      </c>
      <c r="BR5" s="138">
        <v>27722</v>
      </c>
      <c r="BS5" s="139">
        <v>30312</v>
      </c>
      <c r="BT5" s="139">
        <v>84416</v>
      </c>
      <c r="BU5" s="140">
        <v>96240</v>
      </c>
      <c r="BV5" s="146"/>
      <c r="BW5" s="123"/>
      <c r="BX5" s="147"/>
      <c r="BY5" s="148"/>
      <c r="BZ5" s="149">
        <v>143245</v>
      </c>
      <c r="CA5" s="149">
        <v>136101</v>
      </c>
      <c r="CB5" s="149">
        <v>369436</v>
      </c>
      <c r="CC5" s="150">
        <v>339351</v>
      </c>
      <c r="CD5" s="151">
        <v>1843</v>
      </c>
      <c r="CE5" s="152">
        <v>2788</v>
      </c>
      <c r="CF5" s="152">
        <v>5610</v>
      </c>
      <c r="CG5" s="153">
        <v>8271</v>
      </c>
      <c r="CH5" s="154">
        <v>60</v>
      </c>
      <c r="CI5" s="155">
        <v>197</v>
      </c>
      <c r="CJ5" s="155">
        <v>265</v>
      </c>
      <c r="CK5" s="156">
        <v>546</v>
      </c>
      <c r="CL5" s="138">
        <v>18641</v>
      </c>
      <c r="CM5" s="139">
        <v>24906</v>
      </c>
      <c r="CN5" s="139">
        <v>66636</v>
      </c>
      <c r="CO5" s="139">
        <v>58708</v>
      </c>
      <c r="CP5" s="107">
        <f>SUM(B5+F5+J5+N5+R5+V5+Z5+AD5+AH5+AL5+AP5+AT5+AX5+BB5+BF5+BJ5+BN5+BR5+BV5+BZ5+CD5+CH5+CL5)</f>
        <v>486125</v>
      </c>
      <c r="CQ5" s="107">
        <f>SUM(C5+G5+K5+O5+S5+W5+AA5+AE5+AI5+AM5+AQ5+AU5+AY5+BC5+BG5+BK5+BO5+BS5+BW5+CA5+CE5+CI5+CM5)</f>
        <v>495888</v>
      </c>
      <c r="CR5" s="107">
        <f t="shared" ref="CR5:CS18" si="0">SUM(D5+H5+L5+P5+T5+X5+AB5+AF5+AJ5+AN5+AR5+AV5+AZ5+BD5+BH5+BL5+BP5+BT5+BX5+CB5+CF5+CJ5+CN5)</f>
        <v>1357395</v>
      </c>
      <c r="CS5" s="107">
        <f t="shared" si="0"/>
        <v>1350208</v>
      </c>
      <c r="CT5" s="154">
        <v>4369195</v>
      </c>
      <c r="CU5" s="155">
        <v>4465647</v>
      </c>
      <c r="CV5" s="155">
        <v>12653417</v>
      </c>
      <c r="CW5" s="156">
        <v>12465027</v>
      </c>
      <c r="CX5" s="157">
        <f>CP5+CT5</f>
        <v>4855320</v>
      </c>
      <c r="CY5" s="157">
        <f t="shared" ref="CY5:DA18" si="1">CQ5+CU5</f>
        <v>4961535</v>
      </c>
      <c r="CZ5" s="157">
        <f t="shared" si="1"/>
        <v>14010812</v>
      </c>
      <c r="DA5" s="158">
        <f t="shared" si="1"/>
        <v>13815235</v>
      </c>
      <c r="DB5" s="159"/>
    </row>
    <row r="6" spans="1:106" x14ac:dyDescent="0.3">
      <c r="A6" s="134" t="s">
        <v>9</v>
      </c>
      <c r="B6" s="160">
        <v>24699</v>
      </c>
      <c r="C6" s="32">
        <v>6016</v>
      </c>
      <c r="D6" s="32">
        <v>51308</v>
      </c>
      <c r="E6" s="161">
        <v>14125</v>
      </c>
      <c r="F6" s="47">
        <v>96</v>
      </c>
      <c r="G6" s="43">
        <v>227</v>
      </c>
      <c r="H6" s="43">
        <v>477</v>
      </c>
      <c r="I6" s="48">
        <v>471</v>
      </c>
      <c r="J6" s="47">
        <v>5906</v>
      </c>
      <c r="K6" s="43">
        <v>1458</v>
      </c>
      <c r="L6" s="43">
        <v>8439</v>
      </c>
      <c r="M6" s="48">
        <v>2781</v>
      </c>
      <c r="N6" s="45">
        <v>12033</v>
      </c>
      <c r="O6" s="43">
        <v>19386</v>
      </c>
      <c r="P6" s="43">
        <v>29831</v>
      </c>
      <c r="Q6" s="48">
        <v>51704</v>
      </c>
      <c r="R6" s="47">
        <v>7</v>
      </c>
      <c r="S6" s="43">
        <v>10</v>
      </c>
      <c r="T6" s="43">
        <v>32</v>
      </c>
      <c r="U6" s="48">
        <v>45</v>
      </c>
      <c r="V6" s="47">
        <v>28062</v>
      </c>
      <c r="W6" s="43">
        <v>26592</v>
      </c>
      <c r="X6" s="43">
        <v>75732</v>
      </c>
      <c r="Y6" s="48">
        <v>70797</v>
      </c>
      <c r="Z6" s="47">
        <v>1099</v>
      </c>
      <c r="AA6" s="43">
        <v>1091</v>
      </c>
      <c r="AB6" s="43">
        <v>2886</v>
      </c>
      <c r="AC6" s="48">
        <v>2330</v>
      </c>
      <c r="AD6" s="47">
        <v>1530</v>
      </c>
      <c r="AE6" s="43">
        <v>1046</v>
      </c>
      <c r="AF6" s="43">
        <v>3606</v>
      </c>
      <c r="AG6" s="48">
        <v>2586</v>
      </c>
      <c r="AH6" s="47">
        <v>3818</v>
      </c>
      <c r="AI6" s="43">
        <v>2296</v>
      </c>
      <c r="AJ6" s="43">
        <v>10580</v>
      </c>
      <c r="AK6" s="48">
        <v>6296</v>
      </c>
      <c r="AL6" s="47">
        <v>4905</v>
      </c>
      <c r="AM6" s="43">
        <v>726</v>
      </c>
      <c r="AN6" s="43">
        <v>12589</v>
      </c>
      <c r="AO6" s="48">
        <v>1957</v>
      </c>
      <c r="AP6" s="47">
        <v>90480</v>
      </c>
      <c r="AQ6" s="43">
        <v>126417</v>
      </c>
      <c r="AR6" s="43">
        <v>273122</v>
      </c>
      <c r="AS6" s="48">
        <v>330806</v>
      </c>
      <c r="AT6" s="47">
        <v>136967</v>
      </c>
      <c r="AU6" s="43">
        <v>100068</v>
      </c>
      <c r="AV6" s="43">
        <v>344850</v>
      </c>
      <c r="AW6" s="48">
        <v>276537</v>
      </c>
      <c r="AX6" s="162">
        <v>23050</v>
      </c>
      <c r="AY6" s="51">
        <v>23366</v>
      </c>
      <c r="AZ6" s="51">
        <v>62239</v>
      </c>
      <c r="BA6" s="52">
        <v>68019</v>
      </c>
      <c r="BB6" s="47">
        <v>30585</v>
      </c>
      <c r="BC6" s="43">
        <v>30843</v>
      </c>
      <c r="BD6" s="43">
        <v>81986</v>
      </c>
      <c r="BE6" s="48">
        <v>83454</v>
      </c>
      <c r="BF6" s="47">
        <v>24218</v>
      </c>
      <c r="BG6" s="43">
        <v>23771</v>
      </c>
      <c r="BH6" s="43">
        <v>51307</v>
      </c>
      <c r="BI6" s="48">
        <v>53848</v>
      </c>
      <c r="BJ6" s="47">
        <v>82827</v>
      </c>
      <c r="BK6" s="43">
        <v>82311</v>
      </c>
      <c r="BL6" s="43">
        <v>218567</v>
      </c>
      <c r="BM6" s="48">
        <v>198322</v>
      </c>
      <c r="BN6" s="47">
        <v>35512</v>
      </c>
      <c r="BO6" s="43">
        <v>43057</v>
      </c>
      <c r="BP6" s="43">
        <v>95768</v>
      </c>
      <c r="BQ6" s="48">
        <v>107627</v>
      </c>
      <c r="BR6" s="47">
        <v>3100</v>
      </c>
      <c r="BS6" s="43">
        <v>130</v>
      </c>
      <c r="BT6" s="43">
        <v>6469</v>
      </c>
      <c r="BU6" s="48">
        <v>281</v>
      </c>
      <c r="BV6" s="53"/>
      <c r="BW6" s="8"/>
      <c r="BX6" s="147"/>
      <c r="BY6" s="148"/>
      <c r="BZ6" s="149">
        <v>273375</v>
      </c>
      <c r="CA6" s="149">
        <v>255691</v>
      </c>
      <c r="CB6" s="149">
        <v>652323</v>
      </c>
      <c r="CC6" s="150">
        <v>624716</v>
      </c>
      <c r="CD6" s="54">
        <v>176</v>
      </c>
      <c r="CE6" s="55">
        <v>77</v>
      </c>
      <c r="CF6" s="55">
        <v>426</v>
      </c>
      <c r="CG6" s="56">
        <v>85</v>
      </c>
      <c r="CH6" s="57">
        <v>24199</v>
      </c>
      <c r="CI6" s="58">
        <v>30561</v>
      </c>
      <c r="CJ6" s="58">
        <v>64510</v>
      </c>
      <c r="CK6" s="59">
        <v>77867</v>
      </c>
      <c r="CL6" s="47">
        <v>44288</v>
      </c>
      <c r="CM6" s="43">
        <v>13664</v>
      </c>
      <c r="CN6" s="43">
        <v>82237</v>
      </c>
      <c r="CO6" s="43">
        <v>32429</v>
      </c>
      <c r="CP6" s="107">
        <f t="shared" ref="CP6:CQ18" si="2">SUM(B6+F6+J6+N6+R6+V6+Z6+AD6+AH6+AL6+AP6+AT6+AX6+BB6+BF6+BJ6+BN6+BR6+BV6+BZ6+CD6+CH6+CL6)</f>
        <v>850932</v>
      </c>
      <c r="CQ6" s="107">
        <f t="shared" si="2"/>
        <v>788804</v>
      </c>
      <c r="CR6" s="107">
        <f t="shared" si="0"/>
        <v>2129284</v>
      </c>
      <c r="CS6" s="107">
        <f t="shared" si="0"/>
        <v>2007083</v>
      </c>
      <c r="CT6" s="57">
        <v>47127</v>
      </c>
      <c r="CU6" s="58">
        <v>40702</v>
      </c>
      <c r="CV6" s="58">
        <v>120006</v>
      </c>
      <c r="CW6" s="59">
        <v>109251</v>
      </c>
      <c r="CX6" s="157">
        <f t="shared" ref="CX6:CX18" si="3">CP6+CT6</f>
        <v>898059</v>
      </c>
      <c r="CY6" s="157">
        <f t="shared" si="1"/>
        <v>829506</v>
      </c>
      <c r="CZ6" s="157">
        <f t="shared" si="1"/>
        <v>2249290</v>
      </c>
      <c r="DA6" s="158">
        <f t="shared" si="1"/>
        <v>2116334</v>
      </c>
    </row>
    <row r="7" spans="1:106" x14ac:dyDescent="0.3">
      <c r="A7" s="134" t="s">
        <v>10</v>
      </c>
      <c r="B7" s="160">
        <v>-104</v>
      </c>
      <c r="C7" s="32">
        <v>1182</v>
      </c>
      <c r="D7" s="32">
        <v>36</v>
      </c>
      <c r="E7" s="161">
        <v>3322</v>
      </c>
      <c r="F7" s="47">
        <v>85</v>
      </c>
      <c r="G7" s="43">
        <v>1055</v>
      </c>
      <c r="H7" s="43">
        <v>225</v>
      </c>
      <c r="I7" s="48">
        <v>3337</v>
      </c>
      <c r="J7" s="47">
        <v>422</v>
      </c>
      <c r="K7" s="43">
        <v>177</v>
      </c>
      <c r="L7" s="43">
        <v>1130</v>
      </c>
      <c r="M7" s="48">
        <v>311</v>
      </c>
      <c r="N7" s="45">
        <v>6926</v>
      </c>
      <c r="O7" s="43">
        <v>2998</v>
      </c>
      <c r="P7" s="43">
        <v>14946</v>
      </c>
      <c r="Q7" s="48">
        <v>6244</v>
      </c>
      <c r="R7" s="47">
        <v>4577</v>
      </c>
      <c r="S7" s="43">
        <v>2459</v>
      </c>
      <c r="T7" s="43">
        <v>13753</v>
      </c>
      <c r="U7" s="48">
        <v>4886</v>
      </c>
      <c r="V7" s="47">
        <v>141</v>
      </c>
      <c r="W7" s="43"/>
      <c r="X7" s="43">
        <v>280</v>
      </c>
      <c r="Y7" s="48"/>
      <c r="Z7" s="47">
        <v>1137</v>
      </c>
      <c r="AA7" s="43">
        <v>3925</v>
      </c>
      <c r="AB7" s="43">
        <v>12866</v>
      </c>
      <c r="AC7" s="48">
        <v>9325</v>
      </c>
      <c r="AD7" s="47">
        <v>1327</v>
      </c>
      <c r="AE7" s="43">
        <v>717</v>
      </c>
      <c r="AF7" s="43">
        <v>3556</v>
      </c>
      <c r="AG7" s="48">
        <v>2074</v>
      </c>
      <c r="AH7" s="47">
        <v>3684</v>
      </c>
      <c r="AI7" s="43">
        <v>3728</v>
      </c>
      <c r="AJ7" s="43">
        <v>9815</v>
      </c>
      <c r="AK7" s="48">
        <v>10528</v>
      </c>
      <c r="AL7" s="47">
        <v>1651</v>
      </c>
      <c r="AM7" s="43">
        <v>1236</v>
      </c>
      <c r="AN7" s="43">
        <v>4224</v>
      </c>
      <c r="AO7" s="48">
        <v>3500</v>
      </c>
      <c r="AP7" s="47">
        <v>20775</v>
      </c>
      <c r="AQ7" s="43">
        <v>17010</v>
      </c>
      <c r="AR7" s="43">
        <v>57981</v>
      </c>
      <c r="AS7" s="48">
        <v>42708</v>
      </c>
      <c r="AT7" s="47">
        <v>5856</v>
      </c>
      <c r="AU7" s="43">
        <v>15993</v>
      </c>
      <c r="AV7" s="43">
        <v>23392</v>
      </c>
      <c r="AW7" s="48">
        <v>46791</v>
      </c>
      <c r="AX7" s="162"/>
      <c r="AY7" s="51"/>
      <c r="AZ7" s="51"/>
      <c r="BA7" s="52"/>
      <c r="BB7" s="47">
        <v>2151</v>
      </c>
      <c r="BC7" s="43">
        <v>3612</v>
      </c>
      <c r="BD7" s="43">
        <v>8088</v>
      </c>
      <c r="BE7" s="48">
        <v>9497</v>
      </c>
      <c r="BF7" s="47">
        <v>91</v>
      </c>
      <c r="BG7" s="43">
        <v>504</v>
      </c>
      <c r="BH7" s="43">
        <v>195</v>
      </c>
      <c r="BI7" s="48">
        <v>1926</v>
      </c>
      <c r="BJ7" s="47">
        <v>4132</v>
      </c>
      <c r="BK7" s="43">
        <v>3041</v>
      </c>
      <c r="BL7" s="43">
        <v>10152</v>
      </c>
      <c r="BM7" s="48">
        <v>8065</v>
      </c>
      <c r="BN7" s="47">
        <v>-37</v>
      </c>
      <c r="BO7" s="43">
        <v>20</v>
      </c>
      <c r="BP7" s="43"/>
      <c r="BQ7" s="48">
        <v>23</v>
      </c>
      <c r="BR7" s="47">
        <v>4416</v>
      </c>
      <c r="BS7" s="43">
        <v>2536</v>
      </c>
      <c r="BT7" s="43">
        <v>11948</v>
      </c>
      <c r="BU7" s="48">
        <v>8479</v>
      </c>
      <c r="BV7" s="53"/>
      <c r="BW7" s="8"/>
      <c r="BX7" s="147"/>
      <c r="BY7" s="148"/>
      <c r="BZ7" s="149">
        <v>4461</v>
      </c>
      <c r="CA7" s="149">
        <v>3328</v>
      </c>
      <c r="CB7" s="149">
        <v>11759</v>
      </c>
      <c r="CC7" s="150">
        <v>7596</v>
      </c>
      <c r="CD7" s="54">
        <v>27442</v>
      </c>
      <c r="CE7" s="55">
        <v>42166</v>
      </c>
      <c r="CF7" s="55">
        <v>121680</v>
      </c>
      <c r="CG7" s="56">
        <v>99508</v>
      </c>
      <c r="CH7" s="57"/>
      <c r="CI7" s="58"/>
      <c r="CJ7" s="58"/>
      <c r="CK7" s="59"/>
      <c r="CL7" s="47">
        <v>926</v>
      </c>
      <c r="CM7" s="43">
        <v>696</v>
      </c>
      <c r="CN7" s="43">
        <v>2406</v>
      </c>
      <c r="CO7" s="43">
        <v>940</v>
      </c>
      <c r="CP7" s="107">
        <f t="shared" si="2"/>
        <v>90059</v>
      </c>
      <c r="CQ7" s="107">
        <f t="shared" si="2"/>
        <v>106383</v>
      </c>
      <c r="CR7" s="107">
        <f t="shared" si="0"/>
        <v>308432</v>
      </c>
      <c r="CS7" s="107">
        <f t="shared" si="0"/>
        <v>269060</v>
      </c>
      <c r="CT7" s="57">
        <v>8854</v>
      </c>
      <c r="CU7" s="58">
        <v>7220</v>
      </c>
      <c r="CV7" s="58">
        <v>25466</v>
      </c>
      <c r="CW7" s="59">
        <v>20057</v>
      </c>
      <c r="CX7" s="157">
        <f t="shared" si="3"/>
        <v>98913</v>
      </c>
      <c r="CY7" s="157">
        <f t="shared" si="1"/>
        <v>113603</v>
      </c>
      <c r="CZ7" s="157">
        <f t="shared" si="1"/>
        <v>333898</v>
      </c>
      <c r="DA7" s="158">
        <f t="shared" si="1"/>
        <v>289117</v>
      </c>
    </row>
    <row r="8" spans="1:106" x14ac:dyDescent="0.3">
      <c r="A8" s="134" t="s">
        <v>11</v>
      </c>
      <c r="B8" s="160">
        <v>1562</v>
      </c>
      <c r="C8" s="32">
        <v>908</v>
      </c>
      <c r="D8" s="32">
        <v>3723</v>
      </c>
      <c r="E8" s="161">
        <v>2887</v>
      </c>
      <c r="F8" s="47">
        <v>156</v>
      </c>
      <c r="G8" s="43">
        <v>265</v>
      </c>
      <c r="H8" s="43">
        <v>537</v>
      </c>
      <c r="I8" s="48">
        <v>492</v>
      </c>
      <c r="J8" s="47">
        <v>375</v>
      </c>
      <c r="K8" s="43">
        <v>279</v>
      </c>
      <c r="L8" s="43">
        <v>1833</v>
      </c>
      <c r="M8" s="48">
        <v>483</v>
      </c>
      <c r="N8" s="45">
        <v>3609</v>
      </c>
      <c r="O8" s="43">
        <v>2259</v>
      </c>
      <c r="P8" s="43">
        <v>10479</v>
      </c>
      <c r="Q8" s="48">
        <v>6291</v>
      </c>
      <c r="R8" s="47">
        <v>9993</v>
      </c>
      <c r="S8" s="43">
        <v>8003</v>
      </c>
      <c r="T8" s="43">
        <v>27083</v>
      </c>
      <c r="U8" s="48">
        <v>19745</v>
      </c>
      <c r="V8" s="47"/>
      <c r="W8" s="43"/>
      <c r="X8" s="43"/>
      <c r="Y8" s="48"/>
      <c r="Z8" s="47">
        <v>-15</v>
      </c>
      <c r="AA8" s="43">
        <v>-13</v>
      </c>
      <c r="AB8" s="43">
        <v>-30</v>
      </c>
      <c r="AC8" s="48">
        <v>-43</v>
      </c>
      <c r="AD8" s="47">
        <v>451</v>
      </c>
      <c r="AE8" s="43">
        <v>195</v>
      </c>
      <c r="AF8" s="43">
        <v>1237</v>
      </c>
      <c r="AG8" s="48">
        <v>434</v>
      </c>
      <c r="AH8" s="47">
        <v>14856</v>
      </c>
      <c r="AI8" s="43">
        <v>12142</v>
      </c>
      <c r="AJ8" s="43">
        <v>38228</v>
      </c>
      <c r="AK8" s="48">
        <v>32684</v>
      </c>
      <c r="AL8" s="47">
        <v>500</v>
      </c>
      <c r="AM8" s="43">
        <v>1324</v>
      </c>
      <c r="AN8" s="43">
        <v>1043</v>
      </c>
      <c r="AO8" s="48">
        <v>5513</v>
      </c>
      <c r="AP8" s="47">
        <v>9221</v>
      </c>
      <c r="AQ8" s="43">
        <v>9831</v>
      </c>
      <c r="AR8" s="43">
        <v>27816</v>
      </c>
      <c r="AS8" s="48">
        <v>32095</v>
      </c>
      <c r="AT8" s="47">
        <v>10187</v>
      </c>
      <c r="AU8" s="43">
        <v>10156</v>
      </c>
      <c r="AV8" s="43">
        <v>27328</v>
      </c>
      <c r="AW8" s="48">
        <v>26518</v>
      </c>
      <c r="AX8" s="162">
        <v>-3</v>
      </c>
      <c r="AY8" s="51">
        <v>1172</v>
      </c>
      <c r="AZ8" s="51">
        <v>802</v>
      </c>
      <c r="BA8" s="52">
        <v>2918</v>
      </c>
      <c r="BB8" s="47">
        <v>957</v>
      </c>
      <c r="BC8" s="43">
        <v>557</v>
      </c>
      <c r="BD8" s="43">
        <v>3228</v>
      </c>
      <c r="BE8" s="48">
        <v>1060</v>
      </c>
      <c r="BF8" s="47">
        <v>1307</v>
      </c>
      <c r="BG8" s="43">
        <v>1099</v>
      </c>
      <c r="BH8" s="43">
        <v>2923</v>
      </c>
      <c r="BI8" s="48">
        <v>3668</v>
      </c>
      <c r="BJ8" s="47">
        <v>-2</v>
      </c>
      <c r="BK8" s="43">
        <v>-9</v>
      </c>
      <c r="BL8" s="43">
        <v>-16</v>
      </c>
      <c r="BM8" s="48">
        <v>-17</v>
      </c>
      <c r="BN8" s="47">
        <v>1210</v>
      </c>
      <c r="BO8" s="43">
        <v>392</v>
      </c>
      <c r="BP8" s="43">
        <v>2558</v>
      </c>
      <c r="BQ8" s="48">
        <v>1105</v>
      </c>
      <c r="BR8" s="47">
        <v>4686</v>
      </c>
      <c r="BS8" s="43">
        <v>2821</v>
      </c>
      <c r="BT8" s="43">
        <v>11828</v>
      </c>
      <c r="BU8" s="48">
        <v>6468</v>
      </c>
      <c r="BV8" s="53"/>
      <c r="BW8" s="8"/>
      <c r="BX8" s="147"/>
      <c r="BY8" s="148"/>
      <c r="BZ8" s="163">
        <v>72</v>
      </c>
      <c r="CA8" s="163">
        <v>45</v>
      </c>
      <c r="CB8" s="163">
        <v>185</v>
      </c>
      <c r="CC8" s="164">
        <v>187</v>
      </c>
      <c r="CD8" s="54">
        <v>1557</v>
      </c>
      <c r="CE8" s="55">
        <v>1490</v>
      </c>
      <c r="CF8" s="55">
        <v>4381</v>
      </c>
      <c r="CG8" s="56">
        <v>3339</v>
      </c>
      <c r="CH8" s="57"/>
      <c r="CI8" s="58">
        <v>-1</v>
      </c>
      <c r="CJ8" s="58">
        <v>-1</v>
      </c>
      <c r="CK8" s="59">
        <v>-3</v>
      </c>
      <c r="CL8" s="47">
        <v>4321</v>
      </c>
      <c r="CM8" s="43">
        <v>2749</v>
      </c>
      <c r="CN8" s="43">
        <v>14803</v>
      </c>
      <c r="CO8" s="43">
        <v>12978</v>
      </c>
      <c r="CP8" s="107">
        <f t="shared" si="2"/>
        <v>65000</v>
      </c>
      <c r="CQ8" s="107">
        <f t="shared" si="2"/>
        <v>55664</v>
      </c>
      <c r="CR8" s="107">
        <f t="shared" si="0"/>
        <v>179968</v>
      </c>
      <c r="CS8" s="107">
        <f t="shared" si="0"/>
        <v>158802</v>
      </c>
      <c r="CT8" s="57">
        <v>383</v>
      </c>
      <c r="CU8" s="58">
        <v>250</v>
      </c>
      <c r="CV8" s="58">
        <v>919</v>
      </c>
      <c r="CW8" s="59">
        <v>1094</v>
      </c>
      <c r="CX8" s="157">
        <f t="shared" si="3"/>
        <v>65383</v>
      </c>
      <c r="CY8" s="157">
        <f t="shared" si="1"/>
        <v>55914</v>
      </c>
      <c r="CZ8" s="157">
        <f t="shared" si="1"/>
        <v>180887</v>
      </c>
      <c r="DA8" s="158">
        <f t="shared" si="1"/>
        <v>159896</v>
      </c>
    </row>
    <row r="9" spans="1:106" x14ac:dyDescent="0.3">
      <c r="A9" s="134" t="s">
        <v>12</v>
      </c>
      <c r="B9" s="35">
        <v>3433</v>
      </c>
      <c r="C9" s="33">
        <v>6546</v>
      </c>
      <c r="D9" s="33">
        <v>10494</v>
      </c>
      <c r="E9" s="38">
        <v>24424</v>
      </c>
      <c r="F9" s="70"/>
      <c r="G9" s="66"/>
      <c r="H9" s="66"/>
      <c r="I9" s="71"/>
      <c r="J9" s="70"/>
      <c r="K9" s="66"/>
      <c r="L9" s="66"/>
      <c r="M9" s="71"/>
      <c r="N9" s="68">
        <v>47</v>
      </c>
      <c r="O9" s="66">
        <v>23</v>
      </c>
      <c r="P9" s="66">
        <v>68</v>
      </c>
      <c r="Q9" s="71">
        <v>471</v>
      </c>
      <c r="R9" s="70"/>
      <c r="S9" s="66"/>
      <c r="T9" s="66"/>
      <c r="U9" s="71"/>
      <c r="V9" s="70"/>
      <c r="W9" s="66"/>
      <c r="X9" s="66"/>
      <c r="Y9" s="71"/>
      <c r="Z9" s="70"/>
      <c r="AA9" s="66"/>
      <c r="AB9" s="66"/>
      <c r="AC9" s="71"/>
      <c r="AD9" s="70">
        <v>121</v>
      </c>
      <c r="AE9" s="66">
        <v>130</v>
      </c>
      <c r="AF9" s="66">
        <v>280</v>
      </c>
      <c r="AG9" s="71">
        <v>265</v>
      </c>
      <c r="AH9" s="70"/>
      <c r="AI9" s="66"/>
      <c r="AJ9" s="66"/>
      <c r="AK9" s="71"/>
      <c r="AL9" s="70"/>
      <c r="AM9" s="66"/>
      <c r="AN9" s="66"/>
      <c r="AO9" s="71"/>
      <c r="AP9" s="70"/>
      <c r="AQ9" s="66"/>
      <c r="AR9" s="66"/>
      <c r="AS9" s="71"/>
      <c r="AT9" s="70"/>
      <c r="AU9" s="66"/>
      <c r="AV9" s="66"/>
      <c r="AW9" s="71"/>
      <c r="AX9" s="162"/>
      <c r="AY9" s="51"/>
      <c r="AZ9" s="51"/>
      <c r="BA9" s="52"/>
      <c r="BB9" s="70">
        <v>0</v>
      </c>
      <c r="BC9" s="66">
        <v>0</v>
      </c>
      <c r="BD9" s="66">
        <v>0</v>
      </c>
      <c r="BE9" s="71">
        <v>0</v>
      </c>
      <c r="BF9" s="72">
        <v>411</v>
      </c>
      <c r="BG9" s="73">
        <v>158</v>
      </c>
      <c r="BH9" s="73">
        <v>1149</v>
      </c>
      <c r="BI9" s="74">
        <v>445</v>
      </c>
      <c r="BJ9" s="70"/>
      <c r="BK9" s="66"/>
      <c r="BL9" s="66"/>
      <c r="BM9" s="71"/>
      <c r="BN9" s="70"/>
      <c r="BO9" s="66"/>
      <c r="BP9" s="66"/>
      <c r="BQ9" s="71"/>
      <c r="BR9" s="70"/>
      <c r="BS9" s="66"/>
      <c r="BT9" s="66"/>
      <c r="BU9" s="71"/>
      <c r="BV9" s="53"/>
      <c r="BW9" s="8"/>
      <c r="BX9" s="147"/>
      <c r="BY9" s="148"/>
      <c r="BZ9" s="165"/>
      <c r="CA9" s="166"/>
      <c r="CB9" s="166"/>
      <c r="CC9" s="167"/>
      <c r="CD9" s="54"/>
      <c r="CE9" s="55"/>
      <c r="CF9" s="55"/>
      <c r="CG9" s="56"/>
      <c r="CH9" s="57"/>
      <c r="CI9" s="58"/>
      <c r="CJ9" s="58"/>
      <c r="CK9" s="59"/>
      <c r="CL9" s="70">
        <v>11644</v>
      </c>
      <c r="CM9" s="66">
        <v>6187</v>
      </c>
      <c r="CN9" s="66">
        <v>24733</v>
      </c>
      <c r="CO9" s="66">
        <v>11640</v>
      </c>
      <c r="CP9" s="107">
        <f t="shared" si="2"/>
        <v>15656</v>
      </c>
      <c r="CQ9" s="107">
        <f t="shared" si="2"/>
        <v>13044</v>
      </c>
      <c r="CR9" s="107">
        <f t="shared" si="0"/>
        <v>36724</v>
      </c>
      <c r="CS9" s="107">
        <f t="shared" si="0"/>
        <v>37245</v>
      </c>
      <c r="CT9" s="70">
        <v>156712</v>
      </c>
      <c r="CU9" s="66">
        <v>140913</v>
      </c>
      <c r="CV9" s="66">
        <v>345655</v>
      </c>
      <c r="CW9" s="71">
        <v>340696</v>
      </c>
      <c r="CX9" s="157">
        <f t="shared" si="3"/>
        <v>172368</v>
      </c>
      <c r="CY9" s="157">
        <f t="shared" si="1"/>
        <v>153957</v>
      </c>
      <c r="CZ9" s="157">
        <f t="shared" si="1"/>
        <v>382379</v>
      </c>
      <c r="DA9" s="158">
        <f t="shared" si="1"/>
        <v>377941</v>
      </c>
    </row>
    <row r="10" spans="1:106" x14ac:dyDescent="0.3">
      <c r="A10" s="134" t="s">
        <v>21</v>
      </c>
      <c r="B10" s="160"/>
      <c r="C10" s="32"/>
      <c r="D10" s="32"/>
      <c r="E10" s="161"/>
      <c r="F10" s="47"/>
      <c r="G10" s="43"/>
      <c r="H10" s="43"/>
      <c r="I10" s="48"/>
      <c r="J10" s="47"/>
      <c r="K10" s="43"/>
      <c r="L10" s="43"/>
      <c r="M10" s="48"/>
      <c r="N10" s="45"/>
      <c r="O10" s="43"/>
      <c r="P10" s="43"/>
      <c r="Q10" s="48"/>
      <c r="R10" s="47"/>
      <c r="S10" s="43"/>
      <c r="T10" s="43"/>
      <c r="U10" s="48"/>
      <c r="V10" s="47"/>
      <c r="W10" s="43"/>
      <c r="X10" s="43"/>
      <c r="Y10" s="48"/>
      <c r="Z10" s="47"/>
      <c r="AA10" s="43"/>
      <c r="AB10" s="43"/>
      <c r="AC10" s="48"/>
      <c r="AD10" s="47"/>
      <c r="AE10" s="43"/>
      <c r="AF10" s="43"/>
      <c r="AG10" s="48"/>
      <c r="AH10" s="47"/>
      <c r="AI10" s="43"/>
      <c r="AJ10" s="43"/>
      <c r="AK10" s="48"/>
      <c r="AL10" s="47"/>
      <c r="AM10" s="43"/>
      <c r="AN10" s="43"/>
      <c r="AO10" s="48"/>
      <c r="AP10" s="47"/>
      <c r="AQ10" s="43">
        <v>2</v>
      </c>
      <c r="AR10" s="43"/>
      <c r="AS10" s="48">
        <v>27</v>
      </c>
      <c r="AT10" s="47"/>
      <c r="AU10" s="43"/>
      <c r="AV10" s="43"/>
      <c r="AW10" s="48"/>
      <c r="AX10" s="45"/>
      <c r="AY10" s="43"/>
      <c r="AZ10" s="43"/>
      <c r="BA10" s="48"/>
      <c r="BB10" s="47">
        <v>5719</v>
      </c>
      <c r="BC10" s="43">
        <v>6394</v>
      </c>
      <c r="BD10" s="43">
        <v>19306</v>
      </c>
      <c r="BE10" s="48">
        <v>7800</v>
      </c>
      <c r="BF10" s="47"/>
      <c r="BG10" s="43"/>
      <c r="BH10" s="43"/>
      <c r="BI10" s="48"/>
      <c r="BJ10" s="47"/>
      <c r="BK10" s="43"/>
      <c r="BL10" s="43"/>
      <c r="BM10" s="48"/>
      <c r="BN10" s="47"/>
      <c r="BO10" s="43"/>
      <c r="BP10" s="43"/>
      <c r="BQ10" s="48"/>
      <c r="BR10" s="47"/>
      <c r="BS10" s="43"/>
      <c r="BT10" s="43"/>
      <c r="BU10" s="48"/>
      <c r="BV10" s="53"/>
      <c r="BW10" s="8"/>
      <c r="BX10" s="147"/>
      <c r="BY10" s="148"/>
      <c r="BZ10" s="165"/>
      <c r="CA10" s="166"/>
      <c r="CB10" s="166"/>
      <c r="CC10" s="167">
        <v>88</v>
      </c>
      <c r="CD10" s="54"/>
      <c r="CE10" s="55"/>
      <c r="CF10" s="55"/>
      <c r="CG10" s="56"/>
      <c r="CH10" s="57"/>
      <c r="CI10" s="58"/>
      <c r="CJ10" s="58"/>
      <c r="CK10" s="59"/>
      <c r="CL10" s="47"/>
      <c r="CM10" s="43"/>
      <c r="CN10" s="43"/>
      <c r="CO10" s="43"/>
      <c r="CP10" s="107">
        <f t="shared" si="2"/>
        <v>5719</v>
      </c>
      <c r="CQ10" s="107">
        <f t="shared" si="2"/>
        <v>6396</v>
      </c>
      <c r="CR10" s="107">
        <f t="shared" si="0"/>
        <v>19306</v>
      </c>
      <c r="CS10" s="107">
        <f t="shared" si="0"/>
        <v>7915</v>
      </c>
      <c r="CT10" s="57"/>
      <c r="CU10" s="58"/>
      <c r="CV10" s="58"/>
      <c r="CW10" s="59"/>
      <c r="CX10" s="157">
        <f t="shared" si="3"/>
        <v>5719</v>
      </c>
      <c r="CY10" s="157">
        <f t="shared" si="1"/>
        <v>6396</v>
      </c>
      <c r="CZ10" s="157">
        <f t="shared" si="1"/>
        <v>19306</v>
      </c>
      <c r="DA10" s="158">
        <f t="shared" si="1"/>
        <v>7915</v>
      </c>
    </row>
    <row r="11" spans="1:106" x14ac:dyDescent="0.3">
      <c r="A11" s="134" t="s">
        <v>13</v>
      </c>
      <c r="B11" s="160">
        <v>3021</v>
      </c>
      <c r="C11" s="32">
        <v>3226</v>
      </c>
      <c r="D11" s="32">
        <v>9296</v>
      </c>
      <c r="E11" s="161">
        <v>9959</v>
      </c>
      <c r="F11" s="47">
        <v>14311</v>
      </c>
      <c r="G11" s="43">
        <v>11784</v>
      </c>
      <c r="H11" s="43">
        <v>35012</v>
      </c>
      <c r="I11" s="48">
        <v>32718</v>
      </c>
      <c r="J11" s="47">
        <v>1608</v>
      </c>
      <c r="K11" s="43">
        <v>1778</v>
      </c>
      <c r="L11" s="43">
        <v>5007</v>
      </c>
      <c r="M11" s="48">
        <v>5243</v>
      </c>
      <c r="N11" s="45">
        <v>5320</v>
      </c>
      <c r="O11" s="43">
        <v>4332</v>
      </c>
      <c r="P11" s="43">
        <v>12847</v>
      </c>
      <c r="Q11" s="48">
        <v>10509</v>
      </c>
      <c r="R11" s="47">
        <v>3635</v>
      </c>
      <c r="S11" s="43">
        <v>4218</v>
      </c>
      <c r="T11" s="43">
        <v>11674</v>
      </c>
      <c r="U11" s="48">
        <v>10953</v>
      </c>
      <c r="V11" s="47">
        <v>2250</v>
      </c>
      <c r="W11" s="43">
        <v>679</v>
      </c>
      <c r="X11" s="43">
        <v>4966</v>
      </c>
      <c r="Y11" s="48">
        <v>2004</v>
      </c>
      <c r="Z11" s="47">
        <v>8037</v>
      </c>
      <c r="AA11" s="43">
        <v>10963</v>
      </c>
      <c r="AB11" s="43">
        <v>24333</v>
      </c>
      <c r="AC11" s="48">
        <v>28939</v>
      </c>
      <c r="AD11" s="47">
        <v>3120</v>
      </c>
      <c r="AE11" s="43">
        <v>2384</v>
      </c>
      <c r="AF11" s="43">
        <v>10548</v>
      </c>
      <c r="AG11" s="48">
        <v>4404</v>
      </c>
      <c r="AH11" s="47">
        <v>1535</v>
      </c>
      <c r="AI11" s="43">
        <v>1453</v>
      </c>
      <c r="AJ11" s="43">
        <v>4380</v>
      </c>
      <c r="AK11" s="48">
        <v>4762</v>
      </c>
      <c r="AL11" s="47">
        <v>7382</v>
      </c>
      <c r="AM11" s="43">
        <v>17010</v>
      </c>
      <c r="AN11" s="43">
        <v>18431</v>
      </c>
      <c r="AO11" s="48">
        <v>31489</v>
      </c>
      <c r="AP11" s="47">
        <v>58136</v>
      </c>
      <c r="AQ11" s="43">
        <v>69224</v>
      </c>
      <c r="AR11" s="43">
        <v>181733</v>
      </c>
      <c r="AS11" s="48">
        <v>194203</v>
      </c>
      <c r="AT11" s="47">
        <v>24273</v>
      </c>
      <c r="AU11" s="43">
        <v>28938</v>
      </c>
      <c r="AV11" s="43">
        <v>67224</v>
      </c>
      <c r="AW11" s="48">
        <v>79578</v>
      </c>
      <c r="AX11" s="45">
        <v>678</v>
      </c>
      <c r="AY11" s="43">
        <v>808</v>
      </c>
      <c r="AZ11" s="43">
        <v>1638</v>
      </c>
      <c r="BA11" s="48">
        <v>1683</v>
      </c>
      <c r="BB11" s="47">
        <v>711</v>
      </c>
      <c r="BC11" s="43">
        <v>1105</v>
      </c>
      <c r="BD11" s="43">
        <v>2641</v>
      </c>
      <c r="BE11" s="48">
        <v>2823</v>
      </c>
      <c r="BF11" s="47">
        <v>21842</v>
      </c>
      <c r="BG11" s="43">
        <v>14842</v>
      </c>
      <c r="BH11" s="43">
        <v>45579</v>
      </c>
      <c r="BI11" s="48">
        <v>40608</v>
      </c>
      <c r="BJ11" s="47">
        <v>27084</v>
      </c>
      <c r="BK11" s="43">
        <v>16727</v>
      </c>
      <c r="BL11" s="43">
        <v>72751</v>
      </c>
      <c r="BM11" s="48">
        <v>55848</v>
      </c>
      <c r="BN11" s="47">
        <v>15368</v>
      </c>
      <c r="BO11" s="43">
        <v>13286</v>
      </c>
      <c r="BP11" s="43">
        <v>38450</v>
      </c>
      <c r="BQ11" s="48">
        <v>37354</v>
      </c>
      <c r="BR11" s="47">
        <v>16371</v>
      </c>
      <c r="BS11" s="43">
        <v>12720</v>
      </c>
      <c r="BT11" s="43">
        <v>44477</v>
      </c>
      <c r="BU11" s="48">
        <v>35707</v>
      </c>
      <c r="BV11" s="53"/>
      <c r="BW11" s="8"/>
      <c r="BX11" s="147"/>
      <c r="BY11" s="148"/>
      <c r="BZ11" s="149">
        <v>2246</v>
      </c>
      <c r="CA11" s="149">
        <v>2449</v>
      </c>
      <c r="CB11" s="149">
        <v>7114</v>
      </c>
      <c r="CC11" s="150">
        <v>6977</v>
      </c>
      <c r="CD11" s="54">
        <v>19907</v>
      </c>
      <c r="CE11" s="55">
        <v>52272</v>
      </c>
      <c r="CF11" s="55">
        <v>52272</v>
      </c>
      <c r="CG11" s="56">
        <v>46110</v>
      </c>
      <c r="CH11" s="57">
        <v>387</v>
      </c>
      <c r="CI11" s="58">
        <v>277</v>
      </c>
      <c r="CJ11" s="58">
        <v>875</v>
      </c>
      <c r="CK11" s="59">
        <v>778</v>
      </c>
      <c r="CL11" s="47">
        <v>7827</v>
      </c>
      <c r="CM11" s="43">
        <v>3047</v>
      </c>
      <c r="CN11" s="43">
        <v>14711</v>
      </c>
      <c r="CO11" s="43">
        <v>9764</v>
      </c>
      <c r="CP11" s="107">
        <f t="shared" si="2"/>
        <v>245049</v>
      </c>
      <c r="CQ11" s="107">
        <f t="shared" si="2"/>
        <v>273522</v>
      </c>
      <c r="CR11" s="107">
        <f t="shared" si="0"/>
        <v>665959</v>
      </c>
      <c r="CS11" s="107">
        <f t="shared" si="0"/>
        <v>652413</v>
      </c>
      <c r="CT11" s="57">
        <v>15497</v>
      </c>
      <c r="CU11" s="58">
        <v>16082</v>
      </c>
      <c r="CV11" s="58">
        <v>44211</v>
      </c>
      <c r="CW11" s="59">
        <v>47413</v>
      </c>
      <c r="CX11" s="157">
        <f t="shared" si="3"/>
        <v>260546</v>
      </c>
      <c r="CY11" s="157">
        <f t="shared" si="1"/>
        <v>289604</v>
      </c>
      <c r="CZ11" s="157">
        <f t="shared" si="1"/>
        <v>710170</v>
      </c>
      <c r="DA11" s="158">
        <f t="shared" si="1"/>
        <v>699826</v>
      </c>
    </row>
    <row r="12" spans="1:106" x14ac:dyDescent="0.3">
      <c r="A12" s="134" t="s">
        <v>22</v>
      </c>
      <c r="B12" s="160"/>
      <c r="C12" s="32"/>
      <c r="D12" s="32"/>
      <c r="E12" s="161"/>
      <c r="F12" s="47"/>
      <c r="G12" s="43"/>
      <c r="H12" s="43"/>
      <c r="I12" s="48"/>
      <c r="J12" s="47"/>
      <c r="K12" s="43"/>
      <c r="L12" s="43"/>
      <c r="M12" s="48"/>
      <c r="N12" s="45"/>
      <c r="O12" s="43"/>
      <c r="P12" s="43"/>
      <c r="Q12" s="48"/>
      <c r="R12" s="47"/>
      <c r="S12" s="43"/>
      <c r="T12" s="43"/>
      <c r="U12" s="48"/>
      <c r="V12" s="47"/>
      <c r="W12" s="43"/>
      <c r="X12" s="43"/>
      <c r="Y12" s="48"/>
      <c r="Z12" s="47"/>
      <c r="AA12" s="43"/>
      <c r="AB12" s="43"/>
      <c r="AC12" s="48"/>
      <c r="AD12" s="47"/>
      <c r="AE12" s="43"/>
      <c r="AF12" s="43"/>
      <c r="AG12" s="48"/>
      <c r="AH12" s="47">
        <v>10</v>
      </c>
      <c r="AI12" s="43"/>
      <c r="AJ12" s="43">
        <v>10</v>
      </c>
      <c r="AK12" s="48"/>
      <c r="AL12" s="47"/>
      <c r="AM12" s="43"/>
      <c r="AN12" s="43"/>
      <c r="AO12" s="48"/>
      <c r="AP12" s="47"/>
      <c r="AQ12" s="43"/>
      <c r="AR12" s="43"/>
      <c r="AS12" s="48"/>
      <c r="AT12" s="47"/>
      <c r="AU12" s="43"/>
      <c r="AV12" s="43"/>
      <c r="AW12" s="48"/>
      <c r="AX12" s="45"/>
      <c r="AY12" s="43"/>
      <c r="AZ12" s="43"/>
      <c r="BA12" s="48"/>
      <c r="BB12" s="47"/>
      <c r="BC12" s="43"/>
      <c r="BD12" s="43"/>
      <c r="BE12" s="48"/>
      <c r="BF12" s="47">
        <v>589</v>
      </c>
      <c r="BG12" s="43">
        <v>0</v>
      </c>
      <c r="BH12" s="43">
        <v>1473</v>
      </c>
      <c r="BI12" s="48">
        <v>0</v>
      </c>
      <c r="BJ12" s="47">
        <v>1</v>
      </c>
      <c r="BK12" s="43"/>
      <c r="BL12" s="43">
        <v>33</v>
      </c>
      <c r="BM12" s="48"/>
      <c r="BN12" s="47"/>
      <c r="BO12" s="43"/>
      <c r="BP12" s="43"/>
      <c r="BQ12" s="48"/>
      <c r="BR12" s="47"/>
      <c r="BS12" s="43"/>
      <c r="BT12" s="43"/>
      <c r="BU12" s="48"/>
      <c r="BV12" s="53"/>
      <c r="BW12" s="8"/>
      <c r="BX12" s="147"/>
      <c r="BY12" s="148"/>
      <c r="BZ12" s="149"/>
      <c r="CA12" s="149"/>
      <c r="CB12" s="149"/>
      <c r="CC12" s="150"/>
      <c r="CD12" s="54"/>
      <c r="CE12" s="55"/>
      <c r="CF12" s="55"/>
      <c r="CG12" s="56"/>
      <c r="CH12" s="57"/>
      <c r="CI12" s="58"/>
      <c r="CJ12" s="58"/>
      <c r="CK12" s="59"/>
      <c r="CL12" s="47"/>
      <c r="CM12" s="43"/>
      <c r="CN12" s="43"/>
      <c r="CO12" s="43"/>
      <c r="CP12" s="107">
        <f t="shared" si="2"/>
        <v>600</v>
      </c>
      <c r="CQ12" s="107">
        <f t="shared" si="2"/>
        <v>0</v>
      </c>
      <c r="CR12" s="107">
        <f t="shared" si="0"/>
        <v>1516</v>
      </c>
      <c r="CS12" s="107">
        <f t="shared" si="0"/>
        <v>0</v>
      </c>
      <c r="CT12" s="57"/>
      <c r="CU12" s="58"/>
      <c r="CV12" s="58"/>
      <c r="CW12" s="59"/>
      <c r="CX12" s="157">
        <f t="shared" si="3"/>
        <v>600</v>
      </c>
      <c r="CY12" s="157">
        <f t="shared" si="1"/>
        <v>0</v>
      </c>
      <c r="CZ12" s="157">
        <f t="shared" si="1"/>
        <v>1516</v>
      </c>
      <c r="DA12" s="158">
        <f t="shared" si="1"/>
        <v>0</v>
      </c>
    </row>
    <row r="13" spans="1:106" x14ac:dyDescent="0.3">
      <c r="A13" s="134" t="s">
        <v>23</v>
      </c>
      <c r="B13" s="160"/>
      <c r="C13" s="32"/>
      <c r="D13" s="32"/>
      <c r="E13" s="161"/>
      <c r="F13" s="47"/>
      <c r="G13" s="43"/>
      <c r="H13" s="43"/>
      <c r="I13" s="48"/>
      <c r="J13" s="47"/>
      <c r="K13" s="43"/>
      <c r="L13" s="43"/>
      <c r="M13" s="48"/>
      <c r="N13" s="45"/>
      <c r="O13" s="43"/>
      <c r="P13" s="43"/>
      <c r="Q13" s="48"/>
      <c r="R13" s="47"/>
      <c r="S13" s="43"/>
      <c r="T13" s="43"/>
      <c r="U13" s="48"/>
      <c r="V13" s="47"/>
      <c r="W13" s="43"/>
      <c r="X13" s="43"/>
      <c r="Y13" s="48"/>
      <c r="Z13" s="47"/>
      <c r="AA13" s="43"/>
      <c r="AB13" s="43"/>
      <c r="AC13" s="48"/>
      <c r="AD13" s="47"/>
      <c r="AE13" s="43"/>
      <c r="AF13" s="43"/>
      <c r="AG13" s="48"/>
      <c r="AH13" s="47">
        <v>84</v>
      </c>
      <c r="AI13" s="43">
        <v>-6</v>
      </c>
      <c r="AJ13" s="43">
        <v>297</v>
      </c>
      <c r="AK13" s="48">
        <v>23</v>
      </c>
      <c r="AL13" s="47"/>
      <c r="AM13" s="43"/>
      <c r="AN13" s="43"/>
      <c r="AO13" s="48"/>
      <c r="AP13" s="47">
        <v>36</v>
      </c>
      <c r="AQ13" s="43">
        <v>63</v>
      </c>
      <c r="AR13" s="43">
        <v>120</v>
      </c>
      <c r="AS13" s="48">
        <v>223</v>
      </c>
      <c r="AT13" s="47">
        <v>76</v>
      </c>
      <c r="AU13" s="43">
        <v>67</v>
      </c>
      <c r="AV13" s="43">
        <v>209</v>
      </c>
      <c r="AW13" s="48">
        <v>146</v>
      </c>
      <c r="AX13" s="45"/>
      <c r="AY13" s="43"/>
      <c r="AZ13" s="43"/>
      <c r="BA13" s="48"/>
      <c r="BB13" s="47"/>
      <c r="BC13" s="43"/>
      <c r="BD13" s="43"/>
      <c r="BE13" s="48"/>
      <c r="BF13" s="47"/>
      <c r="BG13" s="43"/>
      <c r="BH13" s="43"/>
      <c r="BI13" s="48"/>
      <c r="BJ13" s="47"/>
      <c r="BK13" s="43"/>
      <c r="BL13" s="43"/>
      <c r="BM13" s="48"/>
      <c r="BN13" s="47"/>
      <c r="BO13" s="43"/>
      <c r="BP13" s="43"/>
      <c r="BQ13" s="48"/>
      <c r="BR13" s="47"/>
      <c r="BS13" s="43"/>
      <c r="BT13" s="43"/>
      <c r="BU13" s="48"/>
      <c r="BV13" s="53"/>
      <c r="BW13" s="8"/>
      <c r="BX13" s="147"/>
      <c r="BY13" s="148"/>
      <c r="BZ13" s="149"/>
      <c r="CA13" s="149"/>
      <c r="CB13" s="149"/>
      <c r="CC13" s="150"/>
      <c r="CD13" s="54"/>
      <c r="CE13" s="55"/>
      <c r="CF13" s="55"/>
      <c r="CG13" s="56"/>
      <c r="CH13" s="57"/>
      <c r="CI13" s="58"/>
      <c r="CJ13" s="58"/>
      <c r="CK13" s="59"/>
      <c r="CL13" s="47"/>
      <c r="CM13" s="43"/>
      <c r="CN13" s="43"/>
      <c r="CO13" s="43"/>
      <c r="CP13" s="107">
        <f t="shared" si="2"/>
        <v>196</v>
      </c>
      <c r="CQ13" s="107">
        <f t="shared" si="2"/>
        <v>124</v>
      </c>
      <c r="CR13" s="107">
        <f t="shared" si="0"/>
        <v>626</v>
      </c>
      <c r="CS13" s="107">
        <f t="shared" si="0"/>
        <v>392</v>
      </c>
      <c r="CT13" s="57">
        <v>167</v>
      </c>
      <c r="CU13" s="58">
        <v>81</v>
      </c>
      <c r="CV13" s="58">
        <v>623</v>
      </c>
      <c r="CW13" s="59">
        <v>174</v>
      </c>
      <c r="CX13" s="157">
        <f t="shared" si="3"/>
        <v>363</v>
      </c>
      <c r="CY13" s="157">
        <f t="shared" si="1"/>
        <v>205</v>
      </c>
      <c r="CZ13" s="157">
        <f t="shared" si="1"/>
        <v>1249</v>
      </c>
      <c r="DA13" s="158">
        <f t="shared" si="1"/>
        <v>566</v>
      </c>
    </row>
    <row r="14" spans="1:106" x14ac:dyDescent="0.3">
      <c r="A14" s="134" t="s">
        <v>24</v>
      </c>
      <c r="B14" s="160"/>
      <c r="C14" s="32"/>
      <c r="D14" s="32"/>
      <c r="E14" s="161"/>
      <c r="F14" s="47"/>
      <c r="G14" s="43"/>
      <c r="H14" s="43"/>
      <c r="I14" s="48"/>
      <c r="J14" s="47"/>
      <c r="K14" s="43"/>
      <c r="L14" s="43"/>
      <c r="M14" s="48"/>
      <c r="N14" s="45">
        <v>9247</v>
      </c>
      <c r="O14" s="43">
        <v>2861</v>
      </c>
      <c r="P14" s="43">
        <v>21564</v>
      </c>
      <c r="Q14" s="48">
        <v>7867</v>
      </c>
      <c r="R14" s="47"/>
      <c r="S14" s="43"/>
      <c r="T14" s="43"/>
      <c r="U14" s="48"/>
      <c r="V14" s="47"/>
      <c r="W14" s="43"/>
      <c r="X14" s="43"/>
      <c r="Y14" s="48"/>
      <c r="Z14" s="47"/>
      <c r="AA14" s="43"/>
      <c r="AB14" s="43"/>
      <c r="AC14" s="48"/>
      <c r="AD14" s="47"/>
      <c r="AE14" s="43"/>
      <c r="AF14" s="43"/>
      <c r="AG14" s="48"/>
      <c r="AH14" s="47"/>
      <c r="AI14" s="43"/>
      <c r="AJ14" s="43"/>
      <c r="AK14" s="48"/>
      <c r="AL14" s="47"/>
      <c r="AM14" s="43"/>
      <c r="AN14" s="43"/>
      <c r="AO14" s="48"/>
      <c r="AP14" s="47"/>
      <c r="AQ14" s="43"/>
      <c r="AR14" s="43"/>
      <c r="AS14" s="48"/>
      <c r="AT14" s="47">
        <v>8209</v>
      </c>
      <c r="AU14" s="43">
        <v>3902</v>
      </c>
      <c r="AV14" s="43">
        <v>22155</v>
      </c>
      <c r="AW14" s="48">
        <v>11403</v>
      </c>
      <c r="AX14" s="45"/>
      <c r="AY14" s="43"/>
      <c r="AZ14" s="43"/>
      <c r="BA14" s="48"/>
      <c r="BB14" s="47"/>
      <c r="BC14" s="43"/>
      <c r="BD14" s="43"/>
      <c r="BE14" s="48"/>
      <c r="BF14" s="47"/>
      <c r="BG14" s="43"/>
      <c r="BH14" s="43"/>
      <c r="BI14" s="48"/>
      <c r="BJ14" s="47"/>
      <c r="BK14" s="43"/>
      <c r="BL14" s="43"/>
      <c r="BM14" s="48"/>
      <c r="BN14" s="47"/>
      <c r="BO14" s="43"/>
      <c r="BP14" s="43"/>
      <c r="BQ14" s="48"/>
      <c r="BR14" s="47"/>
      <c r="BS14" s="43"/>
      <c r="BT14" s="43"/>
      <c r="BU14" s="48"/>
      <c r="BV14" s="53"/>
      <c r="BW14" s="8"/>
      <c r="BX14" s="147"/>
      <c r="BY14" s="148"/>
      <c r="BZ14" s="149"/>
      <c r="CA14" s="149"/>
      <c r="CB14" s="149"/>
      <c r="CC14" s="150"/>
      <c r="CD14" s="54"/>
      <c r="CE14" s="55"/>
      <c r="CF14" s="55"/>
      <c r="CG14" s="56"/>
      <c r="CH14" s="57"/>
      <c r="CI14" s="58"/>
      <c r="CJ14" s="58"/>
      <c r="CK14" s="59"/>
      <c r="CL14" s="47"/>
      <c r="CM14" s="43"/>
      <c r="CN14" s="43"/>
      <c r="CO14" s="43"/>
      <c r="CP14" s="107">
        <f t="shared" si="2"/>
        <v>17456</v>
      </c>
      <c r="CQ14" s="107">
        <f t="shared" si="2"/>
        <v>6763</v>
      </c>
      <c r="CR14" s="107">
        <f t="shared" si="0"/>
        <v>43719</v>
      </c>
      <c r="CS14" s="107">
        <f t="shared" si="0"/>
        <v>19270</v>
      </c>
      <c r="CT14" s="57"/>
      <c r="CU14" s="58"/>
      <c r="CV14" s="58"/>
      <c r="CW14" s="59"/>
      <c r="CX14" s="157">
        <f t="shared" si="3"/>
        <v>17456</v>
      </c>
      <c r="CY14" s="157">
        <f t="shared" si="1"/>
        <v>6763</v>
      </c>
      <c r="CZ14" s="157">
        <f t="shared" si="1"/>
        <v>43719</v>
      </c>
      <c r="DA14" s="158">
        <f t="shared" si="1"/>
        <v>19270</v>
      </c>
    </row>
    <row r="15" spans="1:106" x14ac:dyDescent="0.3">
      <c r="A15" s="134" t="s">
        <v>25</v>
      </c>
      <c r="B15" s="160"/>
      <c r="C15" s="32"/>
      <c r="D15" s="32"/>
      <c r="E15" s="161"/>
      <c r="F15" s="47"/>
      <c r="G15" s="43"/>
      <c r="H15" s="43"/>
      <c r="I15" s="48"/>
      <c r="J15" s="47"/>
      <c r="K15" s="43"/>
      <c r="L15" s="43"/>
      <c r="M15" s="48"/>
      <c r="N15" s="45"/>
      <c r="O15" s="43"/>
      <c r="P15" s="43"/>
      <c r="Q15" s="48"/>
      <c r="R15" s="47"/>
      <c r="S15" s="43"/>
      <c r="T15" s="43"/>
      <c r="U15" s="48"/>
      <c r="V15" s="47"/>
      <c r="W15" s="43"/>
      <c r="X15" s="43"/>
      <c r="Y15" s="48"/>
      <c r="Z15" s="47"/>
      <c r="AA15" s="43"/>
      <c r="AB15" s="43"/>
      <c r="AC15" s="48"/>
      <c r="AD15" s="47"/>
      <c r="AE15" s="43"/>
      <c r="AF15" s="43"/>
      <c r="AG15" s="48"/>
      <c r="AH15" s="47"/>
      <c r="AI15" s="43"/>
      <c r="AJ15" s="43"/>
      <c r="AK15" s="48"/>
      <c r="AL15" s="47"/>
      <c r="AM15" s="43"/>
      <c r="AN15" s="43"/>
      <c r="AO15" s="48"/>
      <c r="AP15" s="47">
        <v>13171</v>
      </c>
      <c r="AQ15" s="43"/>
      <c r="AR15" s="43">
        <v>27902</v>
      </c>
      <c r="AS15" s="48"/>
      <c r="AT15" s="47">
        <v>6648</v>
      </c>
      <c r="AU15" s="43">
        <v>2390</v>
      </c>
      <c r="AV15" s="43">
        <v>14427</v>
      </c>
      <c r="AW15" s="48">
        <v>8552</v>
      </c>
      <c r="AX15" s="45"/>
      <c r="AY15" s="43"/>
      <c r="AZ15" s="43"/>
      <c r="BA15" s="48"/>
      <c r="BB15" s="47"/>
      <c r="BC15" s="43"/>
      <c r="BD15" s="43"/>
      <c r="BE15" s="48"/>
      <c r="BF15" s="47"/>
      <c r="BG15" s="43"/>
      <c r="BH15" s="43"/>
      <c r="BI15" s="48"/>
      <c r="BJ15" s="47"/>
      <c r="BK15" s="43"/>
      <c r="BL15" s="43"/>
      <c r="BM15" s="48"/>
      <c r="BN15" s="47"/>
      <c r="BO15" s="43"/>
      <c r="BP15" s="43"/>
      <c r="BQ15" s="48"/>
      <c r="BR15" s="47"/>
      <c r="BS15" s="43"/>
      <c r="BT15" s="43"/>
      <c r="BU15" s="48"/>
      <c r="BV15" s="53"/>
      <c r="BW15" s="8"/>
      <c r="BX15" s="147"/>
      <c r="BY15" s="148"/>
      <c r="BZ15" s="149"/>
      <c r="CA15" s="149"/>
      <c r="CB15" s="149"/>
      <c r="CC15" s="150"/>
      <c r="CD15" s="54"/>
      <c r="CE15" s="55"/>
      <c r="CF15" s="55"/>
      <c r="CG15" s="56"/>
      <c r="CH15" s="57"/>
      <c r="CI15" s="58"/>
      <c r="CJ15" s="58"/>
      <c r="CK15" s="59"/>
      <c r="CL15" s="47"/>
      <c r="CM15" s="43"/>
      <c r="CN15" s="43"/>
      <c r="CO15" s="43"/>
      <c r="CP15" s="107">
        <f t="shared" si="2"/>
        <v>19819</v>
      </c>
      <c r="CQ15" s="107">
        <f t="shared" si="2"/>
        <v>2390</v>
      </c>
      <c r="CR15" s="107">
        <f t="shared" si="0"/>
        <v>42329</v>
      </c>
      <c r="CS15" s="107">
        <f t="shared" si="0"/>
        <v>8552</v>
      </c>
      <c r="CT15" s="57"/>
      <c r="CU15" s="58"/>
      <c r="CV15" s="58"/>
      <c r="CW15" s="59"/>
      <c r="CX15" s="157">
        <f t="shared" si="3"/>
        <v>19819</v>
      </c>
      <c r="CY15" s="157">
        <f t="shared" si="1"/>
        <v>2390</v>
      </c>
      <c r="CZ15" s="157">
        <f t="shared" si="1"/>
        <v>42329</v>
      </c>
      <c r="DA15" s="158">
        <f t="shared" si="1"/>
        <v>8552</v>
      </c>
    </row>
    <row r="16" spans="1:106" x14ac:dyDescent="0.3">
      <c r="A16" s="168" t="s">
        <v>26</v>
      </c>
      <c r="B16" s="169">
        <v>70912</v>
      </c>
      <c r="C16" s="76">
        <v>59324</v>
      </c>
      <c r="D16" s="76">
        <v>185466</v>
      </c>
      <c r="E16" s="170">
        <v>172268</v>
      </c>
      <c r="F16" s="47">
        <v>14646</v>
      </c>
      <c r="G16" s="43">
        <v>13341</v>
      </c>
      <c r="H16" s="43">
        <v>36242</v>
      </c>
      <c r="I16" s="48">
        <v>36986</v>
      </c>
      <c r="J16" s="47">
        <v>10303</v>
      </c>
      <c r="K16" s="43">
        <v>7682</v>
      </c>
      <c r="L16" s="43">
        <v>22951</v>
      </c>
      <c r="M16" s="48">
        <v>20529</v>
      </c>
      <c r="N16" s="45">
        <v>74315</v>
      </c>
      <c r="O16" s="43">
        <v>72683</v>
      </c>
      <c r="P16" s="43">
        <v>197012</v>
      </c>
      <c r="Q16" s="48">
        <v>210989</v>
      </c>
      <c r="R16" s="47">
        <v>36420</v>
      </c>
      <c r="S16" s="43">
        <v>27763</v>
      </c>
      <c r="T16" s="43">
        <v>100830</v>
      </c>
      <c r="U16" s="48">
        <v>67296</v>
      </c>
      <c r="V16" s="47">
        <v>30453</v>
      </c>
      <c r="W16" s="43">
        <v>27271</v>
      </c>
      <c r="X16" s="43">
        <v>80978</v>
      </c>
      <c r="Y16" s="48">
        <v>72801</v>
      </c>
      <c r="Z16" s="47">
        <v>15481</v>
      </c>
      <c r="AA16" s="43">
        <v>23519</v>
      </c>
      <c r="AB16" s="43">
        <v>56387</v>
      </c>
      <c r="AC16" s="48">
        <v>59814</v>
      </c>
      <c r="AD16" s="171">
        <v>17771</v>
      </c>
      <c r="AE16" s="172">
        <v>14560</v>
      </c>
      <c r="AF16" s="172">
        <v>48150</v>
      </c>
      <c r="AG16" s="173">
        <v>34143</v>
      </c>
      <c r="AH16" s="171">
        <v>43982</v>
      </c>
      <c r="AI16" s="172">
        <v>42734</v>
      </c>
      <c r="AJ16" s="172">
        <v>121003</v>
      </c>
      <c r="AK16" s="173">
        <v>120838</v>
      </c>
      <c r="AL16" s="171">
        <v>17089</v>
      </c>
      <c r="AM16" s="172">
        <v>24121</v>
      </c>
      <c r="AN16" s="172">
        <v>44058</v>
      </c>
      <c r="AO16" s="173">
        <v>52181</v>
      </c>
      <c r="AP16" s="171">
        <v>225306</v>
      </c>
      <c r="AQ16" s="172">
        <v>259792</v>
      </c>
      <c r="AR16" s="172">
        <v>664605</v>
      </c>
      <c r="AS16" s="173">
        <v>689863</v>
      </c>
      <c r="AT16" s="171">
        <v>238069</v>
      </c>
      <c r="AU16" s="172">
        <v>210678</v>
      </c>
      <c r="AV16" s="172">
        <v>625407</v>
      </c>
      <c r="AW16" s="173">
        <v>596129</v>
      </c>
      <c r="AX16" s="174">
        <v>25555</v>
      </c>
      <c r="AY16" s="172">
        <v>27069</v>
      </c>
      <c r="AZ16" s="172">
        <v>71878</v>
      </c>
      <c r="BA16" s="173">
        <v>79375</v>
      </c>
      <c r="BB16" s="47">
        <v>41377</v>
      </c>
      <c r="BC16" s="43">
        <v>44051</v>
      </c>
      <c r="BD16" s="43">
        <v>118947</v>
      </c>
      <c r="BE16" s="48">
        <v>108971</v>
      </c>
      <c r="BF16" s="47">
        <v>89815</v>
      </c>
      <c r="BG16" s="43">
        <v>75724</v>
      </c>
      <c r="BH16" s="43">
        <v>207397</v>
      </c>
      <c r="BI16" s="48">
        <v>197746</v>
      </c>
      <c r="BJ16" s="47">
        <v>148155</v>
      </c>
      <c r="BK16" s="43">
        <v>132423</v>
      </c>
      <c r="BL16" s="43">
        <v>405884</v>
      </c>
      <c r="BM16" s="48">
        <v>349968</v>
      </c>
      <c r="BN16" s="47">
        <v>54050</v>
      </c>
      <c r="BO16" s="43">
        <v>59034</v>
      </c>
      <c r="BP16" s="43">
        <v>142564</v>
      </c>
      <c r="BQ16" s="48">
        <v>151993</v>
      </c>
      <c r="BR16" s="47">
        <v>56295</v>
      </c>
      <c r="BS16" s="43">
        <v>48519</v>
      </c>
      <c r="BT16" s="43">
        <v>159138</v>
      </c>
      <c r="BU16" s="48">
        <v>147175</v>
      </c>
      <c r="BV16" s="53"/>
      <c r="BW16" s="8"/>
      <c r="BX16" s="147"/>
      <c r="BY16" s="148"/>
      <c r="BZ16" s="175">
        <v>423399</v>
      </c>
      <c r="CA16" s="175">
        <v>397614</v>
      </c>
      <c r="CB16" s="175">
        <v>1040817</v>
      </c>
      <c r="CC16" s="176">
        <v>978915</v>
      </c>
      <c r="CD16" s="54">
        <v>50925</v>
      </c>
      <c r="CE16" s="55">
        <f>SUM(CE5:CE15)</f>
        <v>98793</v>
      </c>
      <c r="CF16" s="55">
        <v>184369</v>
      </c>
      <c r="CG16" s="56">
        <v>157313</v>
      </c>
      <c r="CH16" s="57">
        <v>24646</v>
      </c>
      <c r="CI16" s="58">
        <v>31034</v>
      </c>
      <c r="CJ16" s="58">
        <v>65649</v>
      </c>
      <c r="CK16" s="59">
        <v>79188</v>
      </c>
      <c r="CL16" s="47">
        <v>87647</v>
      </c>
      <c r="CM16" s="43">
        <v>51249</v>
      </c>
      <c r="CN16" s="43">
        <v>205526</v>
      </c>
      <c r="CO16" s="43">
        <v>126459</v>
      </c>
      <c r="CP16" s="107">
        <f t="shared" si="2"/>
        <v>1796611</v>
      </c>
      <c r="CQ16" s="107">
        <f t="shared" si="2"/>
        <v>1748978</v>
      </c>
      <c r="CR16" s="107">
        <f t="shared" si="0"/>
        <v>4785258</v>
      </c>
      <c r="CS16" s="107">
        <f t="shared" si="0"/>
        <v>4510940</v>
      </c>
      <c r="CT16" s="57">
        <f>SUM(CT5:CT13)</f>
        <v>4597935</v>
      </c>
      <c r="CU16" s="57">
        <f t="shared" ref="CU16:CW16" si="4">SUM(CU5:CU13)</f>
        <v>4670895</v>
      </c>
      <c r="CV16" s="57">
        <f t="shared" si="4"/>
        <v>13190297</v>
      </c>
      <c r="CW16" s="57">
        <f t="shared" si="4"/>
        <v>12983712</v>
      </c>
      <c r="CX16" s="157">
        <f t="shared" si="3"/>
        <v>6394546</v>
      </c>
      <c r="CY16" s="157">
        <f t="shared" si="1"/>
        <v>6419873</v>
      </c>
      <c r="CZ16" s="157">
        <f t="shared" si="1"/>
        <v>17975555</v>
      </c>
      <c r="DA16" s="158">
        <f t="shared" si="1"/>
        <v>17494652</v>
      </c>
    </row>
    <row r="17" spans="1:105" x14ac:dyDescent="0.3">
      <c r="A17" s="134" t="s">
        <v>16</v>
      </c>
      <c r="B17" s="169"/>
      <c r="C17" s="76"/>
      <c r="D17" s="76"/>
      <c r="E17" s="170"/>
      <c r="F17" s="47"/>
      <c r="G17" s="43"/>
      <c r="H17" s="43">
        <v>-2</v>
      </c>
      <c r="I17" s="48">
        <v>3</v>
      </c>
      <c r="J17" s="47"/>
      <c r="K17" s="43"/>
      <c r="L17" s="43"/>
      <c r="M17" s="48"/>
      <c r="N17" s="45"/>
      <c r="O17" s="43"/>
      <c r="P17" s="43"/>
      <c r="Q17" s="48"/>
      <c r="R17" s="47"/>
      <c r="S17" s="43"/>
      <c r="T17" s="43"/>
      <c r="U17" s="48"/>
      <c r="V17" s="47"/>
      <c r="W17" s="43"/>
      <c r="X17" s="43"/>
      <c r="Y17" s="48"/>
      <c r="Z17" s="47">
        <v>603</v>
      </c>
      <c r="AA17" s="43">
        <v>769</v>
      </c>
      <c r="AB17" s="43">
        <v>1809</v>
      </c>
      <c r="AC17" s="48">
        <v>2077</v>
      </c>
      <c r="AD17" s="171"/>
      <c r="AE17" s="172"/>
      <c r="AF17" s="172"/>
      <c r="AG17" s="173"/>
      <c r="AH17" s="171">
        <v>2904</v>
      </c>
      <c r="AI17" s="172">
        <v>3228</v>
      </c>
      <c r="AJ17" s="172">
        <v>8373</v>
      </c>
      <c r="AK17" s="173">
        <v>10460</v>
      </c>
      <c r="AL17" s="171"/>
      <c r="AM17" s="172"/>
      <c r="AN17" s="172"/>
      <c r="AO17" s="173">
        <v>18</v>
      </c>
      <c r="AP17" s="171"/>
      <c r="AQ17" s="172"/>
      <c r="AR17" s="172"/>
      <c r="AS17" s="173"/>
      <c r="AT17" s="171"/>
      <c r="AU17" s="172"/>
      <c r="AV17" s="172"/>
      <c r="AW17" s="173"/>
      <c r="AX17" s="174"/>
      <c r="AY17" s="172"/>
      <c r="AZ17" s="172"/>
      <c r="BA17" s="173"/>
      <c r="BB17" s="47"/>
      <c r="BC17" s="43"/>
      <c r="BD17" s="43"/>
      <c r="BE17" s="48"/>
      <c r="BF17" s="47">
        <v>43</v>
      </c>
      <c r="BG17" s="43">
        <v>3</v>
      </c>
      <c r="BH17" s="43">
        <v>180</v>
      </c>
      <c r="BI17" s="48">
        <v>2</v>
      </c>
      <c r="BJ17" s="47"/>
      <c r="BK17" s="43"/>
      <c r="BL17" s="43"/>
      <c r="BM17" s="48"/>
      <c r="BN17" s="47">
        <v>-3</v>
      </c>
      <c r="BO17" s="43"/>
      <c r="BP17" s="43">
        <v>-7</v>
      </c>
      <c r="BQ17" s="48">
        <v>-2</v>
      </c>
      <c r="BR17" s="47"/>
      <c r="BS17" s="43"/>
      <c r="BT17" s="43"/>
      <c r="BU17" s="48"/>
      <c r="BV17" s="53"/>
      <c r="BW17" s="8"/>
      <c r="BX17" s="147"/>
      <c r="BY17" s="148"/>
      <c r="BZ17" s="166"/>
      <c r="CA17" s="166"/>
      <c r="CB17" s="166"/>
      <c r="CC17" s="167"/>
      <c r="CD17" s="54"/>
      <c r="CE17" s="55"/>
      <c r="CF17" s="55"/>
      <c r="CG17" s="56"/>
      <c r="CH17" s="57"/>
      <c r="CI17" s="58"/>
      <c r="CJ17" s="58"/>
      <c r="CK17" s="59"/>
      <c r="CL17" s="47"/>
      <c r="CM17" s="43"/>
      <c r="CN17" s="43"/>
      <c r="CO17" s="43"/>
      <c r="CP17" s="107">
        <f t="shared" si="2"/>
        <v>3547</v>
      </c>
      <c r="CQ17" s="107">
        <f t="shared" si="2"/>
        <v>4000</v>
      </c>
      <c r="CR17" s="107">
        <f t="shared" si="0"/>
        <v>10353</v>
      </c>
      <c r="CS17" s="107">
        <f t="shared" si="0"/>
        <v>12558</v>
      </c>
      <c r="CT17" s="57"/>
      <c r="CU17" s="58"/>
      <c r="CV17" s="58"/>
      <c r="CW17" s="59"/>
      <c r="CX17" s="157">
        <f t="shared" si="3"/>
        <v>3547</v>
      </c>
      <c r="CY17" s="157">
        <f t="shared" si="1"/>
        <v>4000</v>
      </c>
      <c r="CZ17" s="157">
        <f t="shared" si="1"/>
        <v>10353</v>
      </c>
      <c r="DA17" s="158">
        <f t="shared" si="1"/>
        <v>12558</v>
      </c>
    </row>
    <row r="18" spans="1:105" ht="15" thickBot="1" x14ac:dyDescent="0.35">
      <c r="A18" s="177" t="s">
        <v>17</v>
      </c>
      <c r="B18" s="178">
        <v>70912</v>
      </c>
      <c r="C18" s="179">
        <v>59324</v>
      </c>
      <c r="D18" s="179">
        <v>185466</v>
      </c>
      <c r="E18" s="180">
        <v>172268</v>
      </c>
      <c r="F18" s="181">
        <v>14646</v>
      </c>
      <c r="G18" s="182">
        <v>13341</v>
      </c>
      <c r="H18" s="182">
        <v>36240</v>
      </c>
      <c r="I18" s="183">
        <v>36989</v>
      </c>
      <c r="J18" s="181">
        <v>10303</v>
      </c>
      <c r="K18" s="182">
        <v>7682</v>
      </c>
      <c r="L18" s="182">
        <v>22951</v>
      </c>
      <c r="M18" s="183">
        <v>20529</v>
      </c>
      <c r="N18" s="184">
        <v>74315</v>
      </c>
      <c r="O18" s="182">
        <v>72683</v>
      </c>
      <c r="P18" s="182">
        <v>197012</v>
      </c>
      <c r="Q18" s="183">
        <v>210989</v>
      </c>
      <c r="R18" s="181">
        <v>36420</v>
      </c>
      <c r="S18" s="182">
        <v>27763</v>
      </c>
      <c r="T18" s="182">
        <v>100830</v>
      </c>
      <c r="U18" s="183">
        <v>67296</v>
      </c>
      <c r="V18" s="181">
        <v>30453</v>
      </c>
      <c r="W18" s="182">
        <v>27271</v>
      </c>
      <c r="X18" s="182">
        <v>80978</v>
      </c>
      <c r="Y18" s="183">
        <v>72801</v>
      </c>
      <c r="Z18" s="181">
        <v>16084</v>
      </c>
      <c r="AA18" s="182">
        <v>24288</v>
      </c>
      <c r="AB18" s="182">
        <v>58196</v>
      </c>
      <c r="AC18" s="183">
        <v>61891</v>
      </c>
      <c r="AD18" s="185">
        <v>17771</v>
      </c>
      <c r="AE18" s="186">
        <v>14560</v>
      </c>
      <c r="AF18" s="186">
        <v>48150</v>
      </c>
      <c r="AG18" s="187">
        <v>34143</v>
      </c>
      <c r="AH18" s="185">
        <v>46886</v>
      </c>
      <c r="AI18" s="186">
        <v>45962</v>
      </c>
      <c r="AJ18" s="186">
        <v>129376</v>
      </c>
      <c r="AK18" s="187">
        <v>131298</v>
      </c>
      <c r="AL18" s="185">
        <v>17089</v>
      </c>
      <c r="AM18" s="186">
        <v>24121</v>
      </c>
      <c r="AN18" s="186">
        <v>44058</v>
      </c>
      <c r="AO18" s="187">
        <v>52199</v>
      </c>
      <c r="AP18" s="185">
        <v>225306</v>
      </c>
      <c r="AQ18" s="186">
        <v>259792</v>
      </c>
      <c r="AR18" s="186">
        <v>664605</v>
      </c>
      <c r="AS18" s="187">
        <v>689863</v>
      </c>
      <c r="AT18" s="185">
        <v>238069</v>
      </c>
      <c r="AU18" s="186">
        <v>210678</v>
      </c>
      <c r="AV18" s="186">
        <v>625407</v>
      </c>
      <c r="AW18" s="187">
        <v>596129</v>
      </c>
      <c r="AX18" s="188">
        <v>25555</v>
      </c>
      <c r="AY18" s="189">
        <v>27069</v>
      </c>
      <c r="AZ18" s="189">
        <v>71878</v>
      </c>
      <c r="BA18" s="190">
        <v>79375</v>
      </c>
      <c r="BB18" s="181">
        <v>41377</v>
      </c>
      <c r="BC18" s="182">
        <v>44051</v>
      </c>
      <c r="BD18" s="182">
        <v>118947</v>
      </c>
      <c r="BE18" s="183">
        <v>108971</v>
      </c>
      <c r="BF18" s="191">
        <v>89858</v>
      </c>
      <c r="BG18" s="192">
        <v>75727</v>
      </c>
      <c r="BH18" s="192">
        <v>207577</v>
      </c>
      <c r="BI18" s="193">
        <v>197748</v>
      </c>
      <c r="BJ18" s="181">
        <v>148155</v>
      </c>
      <c r="BK18" s="182">
        <v>132423</v>
      </c>
      <c r="BL18" s="182">
        <v>405884</v>
      </c>
      <c r="BM18" s="183">
        <v>349968</v>
      </c>
      <c r="BN18" s="181">
        <v>54047</v>
      </c>
      <c r="BO18" s="182">
        <v>59034</v>
      </c>
      <c r="BP18" s="182">
        <v>142557</v>
      </c>
      <c r="BQ18" s="183">
        <v>151991</v>
      </c>
      <c r="BR18" s="181">
        <v>56295</v>
      </c>
      <c r="BS18" s="182">
        <v>48519</v>
      </c>
      <c r="BT18" s="182">
        <v>159138</v>
      </c>
      <c r="BU18" s="183">
        <v>147175</v>
      </c>
      <c r="BV18" s="194"/>
      <c r="BW18" s="18"/>
      <c r="BX18" s="195"/>
      <c r="BY18" s="196"/>
      <c r="BZ18" s="197">
        <v>423399</v>
      </c>
      <c r="CA18" s="197">
        <v>397614</v>
      </c>
      <c r="CB18" s="197">
        <v>1040817</v>
      </c>
      <c r="CC18" s="198">
        <v>978915</v>
      </c>
      <c r="CD18" s="199">
        <v>50925</v>
      </c>
      <c r="CE18" s="200">
        <v>98793</v>
      </c>
      <c r="CF18" s="200">
        <v>184369</v>
      </c>
      <c r="CG18" s="201">
        <v>157313</v>
      </c>
      <c r="CH18" s="202">
        <v>24646</v>
      </c>
      <c r="CI18" s="203">
        <v>31034</v>
      </c>
      <c r="CJ18" s="203">
        <v>65649</v>
      </c>
      <c r="CK18" s="204">
        <v>79188</v>
      </c>
      <c r="CL18" s="181">
        <v>87647</v>
      </c>
      <c r="CM18" s="182">
        <v>51249</v>
      </c>
      <c r="CN18" s="182">
        <v>205526</v>
      </c>
      <c r="CO18" s="182">
        <v>126459</v>
      </c>
      <c r="CP18" s="205">
        <f t="shared" si="2"/>
        <v>1800158</v>
      </c>
      <c r="CQ18" s="205">
        <f t="shared" si="2"/>
        <v>1752978</v>
      </c>
      <c r="CR18" s="205">
        <f t="shared" si="0"/>
        <v>4795611</v>
      </c>
      <c r="CS18" s="205">
        <f t="shared" si="0"/>
        <v>4523498</v>
      </c>
      <c r="CT18" s="181">
        <f>CT16+CT17</f>
        <v>4597935</v>
      </c>
      <c r="CU18" s="181">
        <f t="shared" ref="CU18:CW18" si="5">CU16+CU17</f>
        <v>4670895</v>
      </c>
      <c r="CV18" s="181">
        <f t="shared" si="5"/>
        <v>13190297</v>
      </c>
      <c r="CW18" s="181">
        <f t="shared" si="5"/>
        <v>12983712</v>
      </c>
      <c r="CX18" s="209">
        <f t="shared" si="3"/>
        <v>6398093</v>
      </c>
      <c r="CY18" s="209">
        <f t="shared" si="1"/>
        <v>6423873</v>
      </c>
      <c r="CZ18" s="209">
        <f t="shared" si="1"/>
        <v>17985908</v>
      </c>
      <c r="DA18" s="210">
        <f t="shared" si="1"/>
        <v>17507210</v>
      </c>
    </row>
    <row r="20" spans="1:105" x14ac:dyDescent="0.3">
      <c r="CQ20" s="75"/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K12"/>
  <sheetViews>
    <sheetView workbookViewId="0">
      <pane xSplit="1" topLeftCell="EL1" activePane="topRight" state="frozen"/>
      <selection pane="topRight" activeCell="GM4" sqref="GM4"/>
    </sheetView>
  </sheetViews>
  <sheetFormatPr defaultRowHeight="14.25" x14ac:dyDescent="0.3"/>
  <cols>
    <col min="1" max="1" width="38.85546875" style="1143" customWidth="1"/>
    <col min="2" max="2" width="11.85546875" style="1143" customWidth="1"/>
    <col min="3" max="9" width="11.5703125" style="1143" customWidth="1"/>
    <col min="10" max="10" width="9.28515625" style="1143" bestFit="1" customWidth="1"/>
    <col min="11" max="17" width="9.28515625" style="1143" customWidth="1"/>
    <col min="18" max="18" width="9.28515625" style="1143" bestFit="1" customWidth="1"/>
    <col min="19" max="24" width="9.28515625" style="1143" customWidth="1"/>
    <col min="25" max="25" width="11.7109375" style="1143" customWidth="1"/>
    <col min="26" max="26" width="9.28515625" style="1143" bestFit="1" customWidth="1"/>
    <col min="27" max="33" width="9.28515625" style="1143" customWidth="1"/>
    <col min="34" max="35" width="8.28515625" style="1143" customWidth="1"/>
    <col min="36" max="36" width="8" style="1143" customWidth="1"/>
    <col min="37" max="37" width="9.28515625" style="1143" customWidth="1"/>
    <col min="38" max="38" width="7.140625" style="1143" customWidth="1"/>
    <col min="39" max="39" width="8.5703125" style="1143" customWidth="1"/>
    <col min="40" max="41" width="9.28515625" style="1143" customWidth="1"/>
    <col min="42" max="42" width="9.28515625" style="1143" bestFit="1" customWidth="1"/>
    <col min="43" max="49" width="9.28515625" style="1143" customWidth="1"/>
    <col min="50" max="51" width="9" style="1143" customWidth="1"/>
    <col min="52" max="52" width="10.140625" style="1143" customWidth="1"/>
    <col min="53" max="53" width="9" style="1143" customWidth="1"/>
    <col min="54" max="54" width="8.7109375" style="1143" customWidth="1"/>
    <col min="55" max="55" width="8.85546875" style="1143" customWidth="1"/>
    <col min="56" max="57" width="10.140625" style="1143" customWidth="1"/>
    <col min="58" max="58" width="11" style="1143" customWidth="1"/>
    <col min="59" max="59" width="9.28515625" style="1143" customWidth="1"/>
    <col min="60" max="60" width="10" style="1143" customWidth="1"/>
    <col min="61" max="61" width="10.140625" style="1143" customWidth="1"/>
    <col min="62" max="65" width="11" style="1143" customWidth="1"/>
    <col min="66" max="66" width="9.28515625" style="1143" bestFit="1" customWidth="1"/>
    <col min="67" max="73" width="9.28515625" style="1143" customWidth="1"/>
    <col min="74" max="74" width="9.28515625" style="1143" bestFit="1" customWidth="1"/>
    <col min="75" max="81" width="9.28515625" style="1143" customWidth="1"/>
    <col min="82" max="82" width="9.28515625" style="1143" bestFit="1" customWidth="1"/>
    <col min="83" max="83" width="8.140625" style="1143" customWidth="1"/>
    <col min="84" max="84" width="7.85546875" style="1143" customWidth="1"/>
    <col min="85" max="85" width="8.28515625" style="1143" customWidth="1"/>
    <col min="86" max="86" width="8.140625" style="1143" customWidth="1"/>
    <col min="87" max="87" width="8.28515625" style="1143" customWidth="1"/>
    <col min="88" max="88" width="8" style="1143" customWidth="1"/>
    <col min="89" max="89" width="9.28515625" style="1143" customWidth="1"/>
    <col min="90" max="97" width="11.7109375" style="1143" customWidth="1"/>
    <col min="98" max="98" width="9.28515625" style="1143" bestFit="1" customWidth="1"/>
    <col min="99" max="100" width="9.28515625" style="1143" customWidth="1"/>
    <col min="101" max="102" width="8.42578125" style="1143" customWidth="1"/>
    <col min="103" max="103" width="7" style="1143" customWidth="1"/>
    <col min="104" max="105" width="9.28515625" style="1143" customWidth="1"/>
    <col min="106" max="106" width="9.28515625" style="1143" bestFit="1" customWidth="1"/>
    <col min="107" max="113" width="9.28515625" style="1143" customWidth="1"/>
    <col min="114" max="121" width="12" style="1143" customWidth="1"/>
    <col min="122" max="122" width="9.28515625" style="1143" bestFit="1" customWidth="1"/>
    <col min="123" max="129" width="9.28515625" style="1143" customWidth="1"/>
    <col min="130" max="130" width="9.28515625" style="1143" bestFit="1" customWidth="1"/>
    <col min="131" max="131" width="8.5703125" style="1143" customWidth="1"/>
    <col min="132" max="132" width="8.28515625" style="1143" customWidth="1"/>
    <col min="133" max="133" width="9.28515625" style="1143" customWidth="1"/>
    <col min="134" max="134" width="8.42578125" style="1143" customWidth="1"/>
    <col min="135" max="135" width="8.28515625" style="1143" customWidth="1"/>
    <col min="136" max="137" width="9.28515625" style="1143" customWidth="1"/>
    <col min="138" max="138" width="9.28515625" style="1143" bestFit="1" customWidth="1"/>
    <col min="139" max="145" width="9.28515625" style="1143" customWidth="1"/>
    <col min="146" max="153" width="9.140625" style="1143"/>
    <col min="154" max="161" width="11.42578125" style="1143" customWidth="1"/>
    <col min="162" max="162" width="9.28515625" style="1143" bestFit="1" customWidth="1"/>
    <col min="163" max="169" width="9.28515625" style="1143" customWidth="1"/>
    <col min="170" max="170" width="9.28515625" style="1143" bestFit="1" customWidth="1"/>
    <col min="171" max="172" width="8.28515625" style="1143" customWidth="1"/>
    <col min="173" max="173" width="8.140625" style="1143" customWidth="1"/>
    <col min="174" max="174" width="7.5703125" style="1143" customWidth="1"/>
    <col min="175" max="175" width="8.28515625" style="1143" customWidth="1"/>
    <col min="176" max="177" width="9.28515625" style="1143" customWidth="1"/>
    <col min="178" max="178" width="9.28515625" style="1143" bestFit="1" customWidth="1"/>
    <col min="179" max="185" width="9.28515625" style="1143" customWidth="1"/>
    <col min="186" max="186" width="11.5703125" style="1143" bestFit="1" customWidth="1"/>
    <col min="187" max="193" width="9.5703125" style="1143" customWidth="1"/>
    <col min="194" max="16384" width="9.140625" style="1143"/>
  </cols>
  <sheetData>
    <row r="1" spans="1:193" s="1319" customFormat="1" ht="15" customHeight="1" x14ac:dyDescent="0.25">
      <c r="A1" s="1318" t="s">
        <v>334</v>
      </c>
      <c r="B1" s="1316"/>
      <c r="C1" s="1316"/>
      <c r="D1" s="1316"/>
      <c r="E1" s="1316"/>
      <c r="F1" s="1316"/>
      <c r="G1" s="1316"/>
      <c r="H1" s="1316"/>
      <c r="I1" s="1316"/>
      <c r="J1" s="1316"/>
      <c r="K1" s="1316"/>
      <c r="L1" s="1316"/>
      <c r="M1" s="1316"/>
      <c r="N1" s="1316"/>
      <c r="O1" s="1316"/>
      <c r="P1" s="1316"/>
      <c r="Q1" s="1316"/>
      <c r="R1" s="1316"/>
      <c r="S1" s="1316"/>
      <c r="T1" s="1316"/>
      <c r="U1" s="1316"/>
      <c r="V1" s="1316"/>
      <c r="W1" s="1316"/>
      <c r="X1" s="1316"/>
      <c r="Y1" s="1316"/>
      <c r="Z1" s="1316"/>
      <c r="AA1" s="1316"/>
      <c r="AB1" s="1316"/>
      <c r="AC1" s="1316"/>
      <c r="AD1" s="1316"/>
      <c r="AE1" s="1316"/>
      <c r="AF1" s="1316"/>
      <c r="AG1" s="1316"/>
      <c r="AH1" s="1316"/>
      <c r="AI1" s="1316"/>
      <c r="AJ1" s="1316"/>
      <c r="AK1" s="1316"/>
      <c r="AL1" s="1316"/>
      <c r="AM1" s="1316"/>
      <c r="AN1" s="1316"/>
      <c r="AO1" s="1316"/>
      <c r="AP1" s="1316"/>
      <c r="AQ1" s="1316"/>
      <c r="AR1" s="1316"/>
      <c r="AS1" s="1316"/>
      <c r="AT1" s="1316"/>
      <c r="AU1" s="1316"/>
      <c r="AV1" s="1316"/>
      <c r="AW1" s="1316"/>
      <c r="AX1" s="1316"/>
      <c r="AY1" s="1316"/>
      <c r="AZ1" s="1316"/>
      <c r="BA1" s="1316"/>
      <c r="BB1" s="1316"/>
      <c r="BC1" s="1316"/>
      <c r="BD1" s="1316"/>
      <c r="BE1" s="1316"/>
      <c r="BF1" s="1316"/>
      <c r="BG1" s="1316"/>
      <c r="BH1" s="1316"/>
      <c r="BI1" s="1316"/>
      <c r="BJ1" s="1316"/>
      <c r="BK1" s="1316"/>
      <c r="BL1" s="1316"/>
      <c r="BM1" s="1316"/>
      <c r="BN1" s="1316"/>
      <c r="BO1" s="1316"/>
      <c r="BP1" s="1316"/>
      <c r="BQ1" s="1316"/>
      <c r="BR1" s="1316"/>
      <c r="BS1" s="1316"/>
      <c r="BT1" s="1316"/>
      <c r="BU1" s="1316"/>
      <c r="BV1" s="1316"/>
      <c r="BW1" s="1316"/>
      <c r="BX1" s="1316"/>
      <c r="BY1" s="1316"/>
      <c r="BZ1" s="1316"/>
      <c r="CA1" s="1316"/>
      <c r="CB1" s="1316"/>
      <c r="CC1" s="1316"/>
      <c r="CD1" s="1316"/>
      <c r="CE1" s="1316"/>
      <c r="CF1" s="1316"/>
      <c r="CG1" s="1316"/>
      <c r="CH1" s="1316"/>
      <c r="CI1" s="1316"/>
      <c r="CJ1" s="1316"/>
      <c r="CK1" s="1316"/>
      <c r="CL1" s="1316"/>
      <c r="CM1" s="1316"/>
      <c r="CN1" s="1316"/>
      <c r="CO1" s="1316"/>
      <c r="CP1" s="1316"/>
      <c r="CQ1" s="1316"/>
      <c r="CR1" s="1316"/>
      <c r="CS1" s="1316"/>
      <c r="CT1" s="1316"/>
      <c r="CU1" s="1316"/>
      <c r="CV1" s="1316"/>
      <c r="CW1" s="1316"/>
      <c r="CX1" s="1316"/>
      <c r="CY1" s="1316"/>
      <c r="CZ1" s="1316"/>
      <c r="DA1" s="1316"/>
      <c r="DB1" s="1316"/>
      <c r="DC1" s="1316"/>
      <c r="DD1" s="1316"/>
      <c r="DE1" s="1316"/>
      <c r="DF1" s="1316"/>
      <c r="DG1" s="1316"/>
      <c r="DH1" s="1316"/>
      <c r="DI1" s="1316"/>
      <c r="DJ1" s="1316"/>
      <c r="DK1" s="1316"/>
      <c r="DL1" s="1316"/>
      <c r="DM1" s="1316"/>
      <c r="DN1" s="1316"/>
      <c r="DO1" s="1316"/>
      <c r="DP1" s="1316"/>
      <c r="DQ1" s="1316"/>
      <c r="DR1" s="1316"/>
      <c r="DS1" s="1316"/>
      <c r="DT1" s="1316"/>
      <c r="DU1" s="1316"/>
      <c r="DV1" s="1316"/>
      <c r="DW1" s="1316"/>
      <c r="DX1" s="1316"/>
      <c r="DY1" s="1316"/>
      <c r="DZ1" s="1316"/>
      <c r="EA1" s="1316"/>
      <c r="EB1" s="1316"/>
      <c r="EC1" s="1316"/>
      <c r="ED1" s="1316"/>
      <c r="EE1" s="1316"/>
      <c r="EF1" s="1316"/>
      <c r="EG1" s="1316"/>
      <c r="EH1" s="1316"/>
      <c r="EI1" s="1316"/>
      <c r="EJ1" s="1316"/>
      <c r="EK1" s="1316"/>
      <c r="EL1" s="1316"/>
      <c r="EM1" s="1316"/>
      <c r="EN1" s="1316"/>
      <c r="EO1" s="1316"/>
      <c r="EP1" s="1316"/>
      <c r="EQ1" s="1316"/>
      <c r="ER1" s="1316"/>
      <c r="ES1" s="1316"/>
      <c r="ET1" s="1316"/>
      <c r="EU1" s="1316"/>
      <c r="EV1" s="1316"/>
      <c r="EW1" s="1316"/>
      <c r="EX1" s="1316"/>
      <c r="EY1" s="1316"/>
      <c r="EZ1" s="1316"/>
      <c r="FA1" s="1316"/>
      <c r="FB1" s="1316"/>
      <c r="FC1" s="1316"/>
      <c r="FD1" s="1316"/>
      <c r="FE1" s="1316"/>
      <c r="FF1" s="1316"/>
      <c r="FG1" s="1316"/>
      <c r="FH1" s="1316"/>
      <c r="FI1" s="1316"/>
      <c r="FJ1" s="1316"/>
      <c r="FK1" s="1316"/>
      <c r="FL1" s="1316"/>
      <c r="FM1" s="1316"/>
      <c r="FN1" s="1316"/>
      <c r="FO1" s="1316"/>
      <c r="FP1" s="1316"/>
      <c r="FQ1" s="1316"/>
      <c r="FR1" s="1316"/>
      <c r="FS1" s="1316"/>
      <c r="FT1" s="1316"/>
      <c r="FU1" s="1316"/>
      <c r="FV1" s="1316"/>
      <c r="FW1" s="1316"/>
      <c r="FX1" s="1316"/>
      <c r="FY1" s="1316"/>
      <c r="FZ1" s="1316"/>
      <c r="GA1" s="1316"/>
      <c r="GB1" s="1316"/>
      <c r="GC1" s="1316"/>
      <c r="GD1" s="1316"/>
      <c r="GE1" s="1316"/>
      <c r="GF1" s="1316"/>
      <c r="GG1" s="1316"/>
      <c r="GH1" s="1316"/>
      <c r="GI1" s="1316"/>
      <c r="GJ1" s="1316"/>
      <c r="GK1" s="1316"/>
    </row>
    <row r="2" spans="1:193" ht="8.25" customHeight="1" thickBot="1" x14ac:dyDescent="0.35">
      <c r="A2" s="1317"/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317"/>
      <c r="R2" s="1317"/>
      <c r="S2" s="1317"/>
      <c r="T2" s="1317"/>
      <c r="U2" s="1317"/>
      <c r="V2" s="1317"/>
      <c r="W2" s="1317"/>
      <c r="X2" s="1317"/>
      <c r="Y2" s="1317"/>
      <c r="Z2" s="1317"/>
      <c r="AA2" s="1317"/>
      <c r="AB2" s="1317"/>
      <c r="AC2" s="1317"/>
      <c r="AD2" s="1317"/>
      <c r="AE2" s="1317"/>
      <c r="AF2" s="1317"/>
      <c r="AG2" s="1317"/>
      <c r="AH2" s="1317"/>
      <c r="AI2" s="1317"/>
      <c r="AJ2" s="1317"/>
      <c r="AK2" s="1317"/>
      <c r="AL2" s="1317"/>
      <c r="AM2" s="1317"/>
      <c r="AN2" s="1317"/>
      <c r="AO2" s="1317"/>
      <c r="AP2" s="1317"/>
      <c r="AQ2" s="1317"/>
      <c r="AR2" s="1317"/>
      <c r="AS2" s="1317"/>
      <c r="AT2" s="1317"/>
      <c r="AU2" s="1317"/>
      <c r="AV2" s="1317"/>
      <c r="AW2" s="1317"/>
      <c r="AX2" s="1317"/>
      <c r="AY2" s="1317"/>
      <c r="AZ2" s="1317"/>
      <c r="BA2" s="1317"/>
      <c r="BB2" s="1317"/>
      <c r="BC2" s="1317"/>
      <c r="BD2" s="1317"/>
      <c r="BE2" s="1317"/>
      <c r="BF2" s="1317"/>
      <c r="BG2" s="1317"/>
      <c r="BH2" s="1317"/>
      <c r="BI2" s="1317"/>
      <c r="BJ2" s="1317"/>
      <c r="BK2" s="1317"/>
      <c r="BL2" s="1317"/>
      <c r="BM2" s="1317"/>
      <c r="BN2" s="1317"/>
      <c r="BO2" s="1317"/>
      <c r="BP2" s="1317"/>
      <c r="BQ2" s="1317"/>
      <c r="BR2" s="1317"/>
      <c r="BS2" s="1317"/>
      <c r="BT2" s="1317"/>
      <c r="BU2" s="1317"/>
      <c r="BV2" s="1317"/>
      <c r="BW2" s="1317"/>
      <c r="BX2" s="1317"/>
      <c r="BY2" s="1317"/>
      <c r="BZ2" s="1317"/>
      <c r="CA2" s="1317"/>
      <c r="CB2" s="1317"/>
      <c r="CC2" s="1317"/>
      <c r="CD2" s="1317"/>
      <c r="CE2" s="1317"/>
      <c r="CF2" s="1317"/>
      <c r="CG2" s="1317"/>
      <c r="CH2" s="1317"/>
      <c r="CI2" s="1317"/>
      <c r="CJ2" s="1317"/>
      <c r="CK2" s="1317"/>
      <c r="CL2" s="1317"/>
      <c r="CM2" s="1317"/>
      <c r="CN2" s="1317"/>
      <c r="CO2" s="1317"/>
      <c r="CP2" s="1317"/>
      <c r="CQ2" s="1317"/>
      <c r="CR2" s="1317"/>
      <c r="CS2" s="1317"/>
      <c r="CT2" s="1317"/>
      <c r="CU2" s="1317"/>
      <c r="CV2" s="1317"/>
      <c r="CW2" s="1317"/>
      <c r="CX2" s="1317"/>
      <c r="CY2" s="1317"/>
      <c r="CZ2" s="1317"/>
      <c r="DA2" s="1317"/>
      <c r="DB2" s="1317"/>
      <c r="DC2" s="1317"/>
      <c r="DD2" s="1317"/>
      <c r="DE2" s="1317"/>
      <c r="DF2" s="1317"/>
      <c r="DG2" s="1317"/>
      <c r="DH2" s="1317"/>
      <c r="DI2" s="1317"/>
      <c r="DJ2" s="1317"/>
      <c r="DK2" s="1317"/>
      <c r="DL2" s="1317"/>
      <c r="DM2" s="1317"/>
      <c r="DN2" s="1317"/>
      <c r="DO2" s="1317"/>
      <c r="DP2" s="1317"/>
      <c r="DQ2" s="1317"/>
      <c r="DR2" s="1317"/>
      <c r="DS2" s="1317"/>
      <c r="DT2" s="1317"/>
      <c r="DU2" s="1317"/>
      <c r="DV2" s="1317"/>
      <c r="DW2" s="1317"/>
      <c r="DX2" s="1317"/>
      <c r="DY2" s="1317"/>
      <c r="DZ2" s="1317"/>
      <c r="EA2" s="1317"/>
      <c r="EB2" s="1317"/>
      <c r="EC2" s="1317"/>
      <c r="ED2" s="1317"/>
      <c r="EE2" s="1317"/>
      <c r="EF2" s="1317"/>
      <c r="EG2" s="1317"/>
      <c r="EH2" s="1317"/>
      <c r="EI2" s="1317"/>
      <c r="EJ2" s="1317"/>
      <c r="EK2" s="1317"/>
      <c r="EL2" s="1317"/>
      <c r="EM2" s="1317"/>
      <c r="EN2" s="1317"/>
      <c r="EO2" s="1317"/>
      <c r="EP2" s="1317"/>
      <c r="EQ2" s="1317"/>
      <c r="ER2" s="1317"/>
      <c r="ES2" s="1317"/>
      <c r="ET2" s="1317"/>
      <c r="EU2" s="1317"/>
      <c r="EV2" s="1317"/>
      <c r="EW2" s="1317"/>
      <c r="EX2" s="1317"/>
      <c r="EY2" s="1317"/>
      <c r="EZ2" s="1317"/>
      <c r="FA2" s="1317"/>
      <c r="FB2" s="1317"/>
      <c r="FC2" s="1317"/>
      <c r="FD2" s="1317"/>
      <c r="FE2" s="1317"/>
      <c r="FF2" s="1317"/>
      <c r="FG2" s="1317"/>
      <c r="FH2" s="1317"/>
      <c r="FI2" s="1317"/>
      <c r="FJ2" s="1317"/>
      <c r="FK2" s="1317"/>
      <c r="FL2" s="1317"/>
      <c r="FM2" s="1317"/>
      <c r="FN2" s="1317"/>
      <c r="FO2" s="1317"/>
      <c r="FP2" s="1317"/>
      <c r="FQ2" s="1317"/>
      <c r="FR2" s="1317"/>
      <c r="FS2" s="1317"/>
      <c r="FT2" s="1317"/>
      <c r="FU2" s="1317"/>
      <c r="FV2" s="1317"/>
      <c r="FW2" s="1317"/>
      <c r="FX2" s="1317"/>
      <c r="FY2" s="1317"/>
      <c r="FZ2" s="1317"/>
      <c r="GA2" s="1317"/>
      <c r="GB2" s="1317"/>
      <c r="GC2" s="1317"/>
      <c r="GD2" s="1317"/>
      <c r="GE2" s="1317"/>
      <c r="GF2" s="1317"/>
      <c r="GG2" s="1317"/>
      <c r="GH2" s="1317"/>
      <c r="GI2" s="1317"/>
      <c r="GJ2" s="1317"/>
      <c r="GK2" s="1317"/>
    </row>
    <row r="3" spans="1:193" ht="15" customHeight="1" thickBot="1" x14ac:dyDescent="0.35">
      <c r="A3" s="1513" t="s">
        <v>1</v>
      </c>
      <c r="B3" s="1515" t="s">
        <v>356</v>
      </c>
      <c r="C3" s="1516"/>
      <c r="D3" s="1516"/>
      <c r="E3" s="1516"/>
      <c r="F3" s="1516"/>
      <c r="G3" s="1516"/>
      <c r="H3" s="1516"/>
      <c r="I3" s="1517"/>
      <c r="J3" s="1510" t="s">
        <v>355</v>
      </c>
      <c r="K3" s="1511"/>
      <c r="L3" s="1511"/>
      <c r="M3" s="1511"/>
      <c r="N3" s="1511"/>
      <c r="O3" s="1511"/>
      <c r="P3" s="1511"/>
      <c r="Q3" s="1512"/>
      <c r="R3" s="1510" t="s">
        <v>335</v>
      </c>
      <c r="S3" s="1511"/>
      <c r="T3" s="1511"/>
      <c r="U3" s="1511"/>
      <c r="V3" s="1511"/>
      <c r="W3" s="1511"/>
      <c r="X3" s="1511"/>
      <c r="Y3" s="1512"/>
      <c r="Z3" s="1511" t="s">
        <v>336</v>
      </c>
      <c r="AA3" s="1511"/>
      <c r="AB3" s="1511"/>
      <c r="AC3" s="1511"/>
      <c r="AD3" s="1511"/>
      <c r="AE3" s="1511"/>
      <c r="AF3" s="1511"/>
      <c r="AG3" s="1511"/>
      <c r="AH3" s="1510" t="s">
        <v>337</v>
      </c>
      <c r="AI3" s="1511"/>
      <c r="AJ3" s="1511"/>
      <c r="AK3" s="1511"/>
      <c r="AL3" s="1511"/>
      <c r="AM3" s="1511"/>
      <c r="AN3" s="1511"/>
      <c r="AO3" s="1512"/>
      <c r="AP3" s="1510" t="s">
        <v>338</v>
      </c>
      <c r="AQ3" s="1511"/>
      <c r="AR3" s="1511"/>
      <c r="AS3" s="1511"/>
      <c r="AT3" s="1511"/>
      <c r="AU3" s="1511"/>
      <c r="AV3" s="1511"/>
      <c r="AW3" s="1512"/>
      <c r="AX3" s="1510" t="s">
        <v>332</v>
      </c>
      <c r="AY3" s="1511"/>
      <c r="AZ3" s="1511"/>
      <c r="BA3" s="1511"/>
      <c r="BB3" s="1511"/>
      <c r="BC3" s="1511"/>
      <c r="BD3" s="1511"/>
      <c r="BE3" s="1512"/>
      <c r="BF3" s="1510" t="s">
        <v>339</v>
      </c>
      <c r="BG3" s="1511"/>
      <c r="BH3" s="1511"/>
      <c r="BI3" s="1511"/>
      <c r="BJ3" s="1511"/>
      <c r="BK3" s="1511"/>
      <c r="BL3" s="1511"/>
      <c r="BM3" s="1511"/>
      <c r="BN3" s="1510" t="s">
        <v>333</v>
      </c>
      <c r="BO3" s="1511"/>
      <c r="BP3" s="1511"/>
      <c r="BQ3" s="1511"/>
      <c r="BR3" s="1511"/>
      <c r="BS3" s="1511"/>
      <c r="BT3" s="1511"/>
      <c r="BU3" s="1511"/>
      <c r="BV3" s="1510" t="s">
        <v>340</v>
      </c>
      <c r="BW3" s="1511"/>
      <c r="BX3" s="1511"/>
      <c r="BY3" s="1511"/>
      <c r="BZ3" s="1511"/>
      <c r="CA3" s="1511"/>
      <c r="CB3" s="1511"/>
      <c r="CC3" s="1511"/>
      <c r="CD3" s="1510" t="s">
        <v>341</v>
      </c>
      <c r="CE3" s="1511"/>
      <c r="CF3" s="1511"/>
      <c r="CG3" s="1511"/>
      <c r="CH3" s="1511"/>
      <c r="CI3" s="1511"/>
      <c r="CJ3" s="1511"/>
      <c r="CK3" s="1512"/>
      <c r="CL3" s="1510" t="s">
        <v>342</v>
      </c>
      <c r="CM3" s="1511"/>
      <c r="CN3" s="1511"/>
      <c r="CO3" s="1511"/>
      <c r="CP3" s="1511"/>
      <c r="CQ3" s="1511"/>
      <c r="CR3" s="1511"/>
      <c r="CS3" s="1512"/>
      <c r="CT3" s="1511" t="s">
        <v>343</v>
      </c>
      <c r="CU3" s="1511"/>
      <c r="CV3" s="1511"/>
      <c r="CW3" s="1511"/>
      <c r="CX3" s="1511"/>
      <c r="CY3" s="1511"/>
      <c r="CZ3" s="1511"/>
      <c r="DA3" s="1512"/>
      <c r="DB3" s="1511" t="s">
        <v>344</v>
      </c>
      <c r="DC3" s="1511"/>
      <c r="DD3" s="1511"/>
      <c r="DE3" s="1511"/>
      <c r="DF3" s="1511"/>
      <c r="DG3" s="1511"/>
      <c r="DH3" s="1511"/>
      <c r="DI3" s="1512"/>
      <c r="DJ3" s="1506" t="s">
        <v>345</v>
      </c>
      <c r="DK3" s="1506"/>
      <c r="DL3" s="1506"/>
      <c r="DM3" s="1506"/>
      <c r="DN3" s="1506"/>
      <c r="DO3" s="1506"/>
      <c r="DP3" s="1506"/>
      <c r="DQ3" s="1507"/>
      <c r="DR3" s="1511" t="s">
        <v>346</v>
      </c>
      <c r="DS3" s="1511"/>
      <c r="DT3" s="1511"/>
      <c r="DU3" s="1511"/>
      <c r="DV3" s="1511"/>
      <c r="DW3" s="1511"/>
      <c r="DX3" s="1511"/>
      <c r="DY3" s="1512"/>
      <c r="DZ3" s="1511" t="s">
        <v>347</v>
      </c>
      <c r="EA3" s="1511"/>
      <c r="EB3" s="1511"/>
      <c r="EC3" s="1511"/>
      <c r="ED3" s="1511"/>
      <c r="EE3" s="1511"/>
      <c r="EF3" s="1511"/>
      <c r="EG3" s="1512"/>
      <c r="EH3" s="1510" t="s">
        <v>348</v>
      </c>
      <c r="EI3" s="1511"/>
      <c r="EJ3" s="1511"/>
      <c r="EK3" s="1511"/>
      <c r="EL3" s="1511"/>
      <c r="EM3" s="1511"/>
      <c r="EN3" s="1511"/>
      <c r="EO3" s="1512"/>
      <c r="EP3" s="1505" t="s">
        <v>276</v>
      </c>
      <c r="EQ3" s="1506"/>
      <c r="ER3" s="1506"/>
      <c r="ES3" s="1506"/>
      <c r="ET3" s="1506"/>
      <c r="EU3" s="1506"/>
      <c r="EV3" s="1506"/>
      <c r="EW3" s="1507"/>
      <c r="EX3" s="1518" t="s">
        <v>349</v>
      </c>
      <c r="EY3" s="1519"/>
      <c r="EZ3" s="1519"/>
      <c r="FA3" s="1519"/>
      <c r="FB3" s="1519"/>
      <c r="FC3" s="1519"/>
      <c r="FD3" s="1519"/>
      <c r="FE3" s="1520"/>
      <c r="FF3" s="1510" t="s">
        <v>350</v>
      </c>
      <c r="FG3" s="1511"/>
      <c r="FH3" s="1511"/>
      <c r="FI3" s="1511"/>
      <c r="FJ3" s="1511"/>
      <c r="FK3" s="1511"/>
      <c r="FL3" s="1511"/>
      <c r="FM3" s="1512"/>
      <c r="FN3" s="1510" t="s">
        <v>351</v>
      </c>
      <c r="FO3" s="1511"/>
      <c r="FP3" s="1511"/>
      <c r="FQ3" s="1511"/>
      <c r="FR3" s="1511"/>
      <c r="FS3" s="1511"/>
      <c r="FT3" s="1511"/>
      <c r="FU3" s="1512"/>
      <c r="FV3" s="1510" t="s">
        <v>352</v>
      </c>
      <c r="FW3" s="1511"/>
      <c r="FX3" s="1511"/>
      <c r="FY3" s="1511"/>
      <c r="FZ3" s="1511"/>
      <c r="GA3" s="1511"/>
      <c r="GB3" s="1511"/>
      <c r="GC3" s="1512"/>
      <c r="GD3" s="1505" t="s">
        <v>331</v>
      </c>
      <c r="GE3" s="1506"/>
      <c r="GF3" s="1506"/>
      <c r="GG3" s="1506"/>
      <c r="GH3" s="1506"/>
      <c r="GI3" s="1506"/>
      <c r="GJ3" s="1506"/>
      <c r="GK3" s="1507"/>
    </row>
    <row r="4" spans="1:193" s="951" customFormat="1" ht="68.25" thickBot="1" x14ac:dyDescent="0.3">
      <c r="A4" s="1514"/>
      <c r="B4" s="1144" t="s">
        <v>294</v>
      </c>
      <c r="C4" s="1145" t="s">
        <v>295</v>
      </c>
      <c r="D4" s="1145" t="s">
        <v>296</v>
      </c>
      <c r="E4" s="1145" t="s">
        <v>297</v>
      </c>
      <c r="F4" s="1145" t="s">
        <v>298</v>
      </c>
      <c r="G4" s="1145" t="s">
        <v>299</v>
      </c>
      <c r="H4" s="1146" t="s">
        <v>300</v>
      </c>
      <c r="I4" s="1147" t="s">
        <v>301</v>
      </c>
      <c r="J4" s="1144" t="s">
        <v>294</v>
      </c>
      <c r="K4" s="1145" t="s">
        <v>295</v>
      </c>
      <c r="L4" s="1145" t="s">
        <v>296</v>
      </c>
      <c r="M4" s="1145" t="s">
        <v>297</v>
      </c>
      <c r="N4" s="1145" t="s">
        <v>298</v>
      </c>
      <c r="O4" s="1145" t="s">
        <v>299</v>
      </c>
      <c r="P4" s="1146" t="s">
        <v>300</v>
      </c>
      <c r="Q4" s="1147" t="s">
        <v>301</v>
      </c>
      <c r="R4" s="1144" t="s">
        <v>294</v>
      </c>
      <c r="S4" s="1145" t="s">
        <v>295</v>
      </c>
      <c r="T4" s="1145" t="s">
        <v>296</v>
      </c>
      <c r="U4" s="1145" t="s">
        <v>297</v>
      </c>
      <c r="V4" s="1145" t="s">
        <v>298</v>
      </c>
      <c r="W4" s="1145" t="s">
        <v>299</v>
      </c>
      <c r="X4" s="1146" t="s">
        <v>300</v>
      </c>
      <c r="Y4" s="1147" t="s">
        <v>301</v>
      </c>
      <c r="Z4" s="1144" t="s">
        <v>294</v>
      </c>
      <c r="AA4" s="1145" t="s">
        <v>295</v>
      </c>
      <c r="AB4" s="1145" t="s">
        <v>296</v>
      </c>
      <c r="AC4" s="1145" t="s">
        <v>297</v>
      </c>
      <c r="AD4" s="1145" t="s">
        <v>298</v>
      </c>
      <c r="AE4" s="1145" t="s">
        <v>299</v>
      </c>
      <c r="AF4" s="1146" t="s">
        <v>300</v>
      </c>
      <c r="AG4" s="1146" t="s">
        <v>301</v>
      </c>
      <c r="AH4" s="1144" t="s">
        <v>294</v>
      </c>
      <c r="AI4" s="1145" t="s">
        <v>295</v>
      </c>
      <c r="AJ4" s="1145" t="s">
        <v>296</v>
      </c>
      <c r="AK4" s="1145" t="s">
        <v>297</v>
      </c>
      <c r="AL4" s="1145" t="s">
        <v>298</v>
      </c>
      <c r="AM4" s="1145" t="s">
        <v>299</v>
      </c>
      <c r="AN4" s="1146" t="s">
        <v>300</v>
      </c>
      <c r="AO4" s="1147" t="s">
        <v>301</v>
      </c>
      <c r="AP4" s="1144" t="s">
        <v>294</v>
      </c>
      <c r="AQ4" s="1145" t="s">
        <v>295</v>
      </c>
      <c r="AR4" s="1145" t="s">
        <v>296</v>
      </c>
      <c r="AS4" s="1145" t="s">
        <v>297</v>
      </c>
      <c r="AT4" s="1145" t="s">
        <v>298</v>
      </c>
      <c r="AU4" s="1145" t="s">
        <v>299</v>
      </c>
      <c r="AV4" s="1146" t="s">
        <v>300</v>
      </c>
      <c r="AW4" s="1147" t="s">
        <v>301</v>
      </c>
      <c r="AX4" s="1144" t="s">
        <v>294</v>
      </c>
      <c r="AY4" s="1145" t="s">
        <v>295</v>
      </c>
      <c r="AZ4" s="1145" t="s">
        <v>296</v>
      </c>
      <c r="BA4" s="1145" t="s">
        <v>297</v>
      </c>
      <c r="BB4" s="1145" t="s">
        <v>298</v>
      </c>
      <c r="BC4" s="1145" t="s">
        <v>299</v>
      </c>
      <c r="BD4" s="1146" t="s">
        <v>300</v>
      </c>
      <c r="BE4" s="1147" t="s">
        <v>301</v>
      </c>
      <c r="BF4" s="1144" t="s">
        <v>294</v>
      </c>
      <c r="BG4" s="1145" t="s">
        <v>295</v>
      </c>
      <c r="BH4" s="1145" t="s">
        <v>296</v>
      </c>
      <c r="BI4" s="1145" t="s">
        <v>297</v>
      </c>
      <c r="BJ4" s="1145" t="s">
        <v>302</v>
      </c>
      <c r="BK4" s="1145" t="s">
        <v>303</v>
      </c>
      <c r="BL4" s="1146" t="s">
        <v>300</v>
      </c>
      <c r="BM4" s="1145" t="s">
        <v>301</v>
      </c>
      <c r="BN4" s="1144" t="s">
        <v>294</v>
      </c>
      <c r="BO4" s="1145" t="s">
        <v>295</v>
      </c>
      <c r="BP4" s="1145" t="s">
        <v>296</v>
      </c>
      <c r="BQ4" s="1145" t="s">
        <v>297</v>
      </c>
      <c r="BR4" s="1145" t="s">
        <v>298</v>
      </c>
      <c r="BS4" s="1145" t="s">
        <v>299</v>
      </c>
      <c r="BT4" s="1146" t="s">
        <v>300</v>
      </c>
      <c r="BU4" s="1145" t="s">
        <v>301</v>
      </c>
      <c r="BV4" s="1144" t="s">
        <v>294</v>
      </c>
      <c r="BW4" s="1145" t="s">
        <v>295</v>
      </c>
      <c r="BX4" s="1145" t="s">
        <v>296</v>
      </c>
      <c r="BY4" s="1145" t="s">
        <v>297</v>
      </c>
      <c r="BZ4" s="1145" t="s">
        <v>298</v>
      </c>
      <c r="CA4" s="1145" t="s">
        <v>299</v>
      </c>
      <c r="CB4" s="1146" t="s">
        <v>300</v>
      </c>
      <c r="CC4" s="1145" t="s">
        <v>301</v>
      </c>
      <c r="CD4" s="1144" t="s">
        <v>294</v>
      </c>
      <c r="CE4" s="1145" t="s">
        <v>295</v>
      </c>
      <c r="CF4" s="1145" t="s">
        <v>296</v>
      </c>
      <c r="CG4" s="1145" t="s">
        <v>297</v>
      </c>
      <c r="CH4" s="1145" t="s">
        <v>298</v>
      </c>
      <c r="CI4" s="1145" t="s">
        <v>299</v>
      </c>
      <c r="CJ4" s="1146" t="s">
        <v>300</v>
      </c>
      <c r="CK4" s="1147" t="s">
        <v>301</v>
      </c>
      <c r="CL4" s="1144" t="s">
        <v>294</v>
      </c>
      <c r="CM4" s="1145" t="s">
        <v>295</v>
      </c>
      <c r="CN4" s="1145" t="s">
        <v>296</v>
      </c>
      <c r="CO4" s="1145" t="s">
        <v>297</v>
      </c>
      <c r="CP4" s="1145" t="s">
        <v>298</v>
      </c>
      <c r="CQ4" s="1145" t="s">
        <v>299</v>
      </c>
      <c r="CR4" s="1146" t="s">
        <v>300</v>
      </c>
      <c r="CS4" s="1147" t="s">
        <v>301</v>
      </c>
      <c r="CT4" s="1148" t="s">
        <v>294</v>
      </c>
      <c r="CU4" s="1145" t="s">
        <v>295</v>
      </c>
      <c r="CV4" s="1145" t="s">
        <v>296</v>
      </c>
      <c r="CW4" s="1145" t="s">
        <v>297</v>
      </c>
      <c r="CX4" s="1145" t="s">
        <v>298</v>
      </c>
      <c r="CY4" s="1145" t="s">
        <v>299</v>
      </c>
      <c r="CZ4" s="1147" t="s">
        <v>300</v>
      </c>
      <c r="DA4" s="1146" t="s">
        <v>301</v>
      </c>
      <c r="DB4" s="1148" t="s">
        <v>294</v>
      </c>
      <c r="DC4" s="1145" t="s">
        <v>295</v>
      </c>
      <c r="DD4" s="1145" t="s">
        <v>296</v>
      </c>
      <c r="DE4" s="1145" t="s">
        <v>297</v>
      </c>
      <c r="DF4" s="1145" t="s">
        <v>298</v>
      </c>
      <c r="DG4" s="1145" t="s">
        <v>299</v>
      </c>
      <c r="DH4" s="1146" t="s">
        <v>300</v>
      </c>
      <c r="DI4" s="1146" t="s">
        <v>301</v>
      </c>
      <c r="DJ4" s="1148" t="s">
        <v>294</v>
      </c>
      <c r="DK4" s="1145" t="s">
        <v>295</v>
      </c>
      <c r="DL4" s="1145" t="s">
        <v>296</v>
      </c>
      <c r="DM4" s="1145" t="s">
        <v>297</v>
      </c>
      <c r="DN4" s="1145" t="s">
        <v>298</v>
      </c>
      <c r="DO4" s="1145" t="s">
        <v>299</v>
      </c>
      <c r="DP4" s="1146" t="s">
        <v>300</v>
      </c>
      <c r="DQ4" s="1146" t="s">
        <v>301</v>
      </c>
      <c r="DR4" s="1148" t="s">
        <v>294</v>
      </c>
      <c r="DS4" s="1145" t="s">
        <v>295</v>
      </c>
      <c r="DT4" s="1145" t="s">
        <v>296</v>
      </c>
      <c r="DU4" s="1145" t="s">
        <v>297</v>
      </c>
      <c r="DV4" s="1145" t="s">
        <v>298</v>
      </c>
      <c r="DW4" s="1145" t="s">
        <v>299</v>
      </c>
      <c r="DX4" s="1146" t="s">
        <v>300</v>
      </c>
      <c r="DY4" s="1146" t="s">
        <v>301</v>
      </c>
      <c r="DZ4" s="1148" t="s">
        <v>294</v>
      </c>
      <c r="EA4" s="1145" t="s">
        <v>295</v>
      </c>
      <c r="EB4" s="1145" t="s">
        <v>296</v>
      </c>
      <c r="EC4" s="1145" t="s">
        <v>297</v>
      </c>
      <c r="ED4" s="1145" t="s">
        <v>298</v>
      </c>
      <c r="EE4" s="1145" t="s">
        <v>299</v>
      </c>
      <c r="EF4" s="1146" t="s">
        <v>300</v>
      </c>
      <c r="EG4" s="1146" t="s">
        <v>301</v>
      </c>
      <c r="EH4" s="1148" t="s">
        <v>294</v>
      </c>
      <c r="EI4" s="1145" t="s">
        <v>295</v>
      </c>
      <c r="EJ4" s="1145" t="s">
        <v>296</v>
      </c>
      <c r="EK4" s="1145" t="s">
        <v>297</v>
      </c>
      <c r="EL4" s="1145" t="s">
        <v>298</v>
      </c>
      <c r="EM4" s="1145" t="s">
        <v>299</v>
      </c>
      <c r="EN4" s="1146" t="s">
        <v>300</v>
      </c>
      <c r="EO4" s="1146" t="s">
        <v>301</v>
      </c>
      <c r="EP4" s="1148" t="s">
        <v>294</v>
      </c>
      <c r="EQ4" s="1145" t="s">
        <v>295</v>
      </c>
      <c r="ER4" s="1145" t="s">
        <v>296</v>
      </c>
      <c r="ES4" s="1145" t="s">
        <v>297</v>
      </c>
      <c r="ET4" s="1145" t="s">
        <v>298</v>
      </c>
      <c r="EU4" s="1145" t="s">
        <v>299</v>
      </c>
      <c r="EV4" s="1146" t="s">
        <v>300</v>
      </c>
      <c r="EW4" s="1146" t="s">
        <v>301</v>
      </c>
      <c r="EX4" s="1144" t="s">
        <v>294</v>
      </c>
      <c r="EY4" s="1145" t="s">
        <v>295</v>
      </c>
      <c r="EZ4" s="1145" t="s">
        <v>296</v>
      </c>
      <c r="FA4" s="1145" t="s">
        <v>297</v>
      </c>
      <c r="FB4" s="1145" t="s">
        <v>298</v>
      </c>
      <c r="FC4" s="1145" t="s">
        <v>299</v>
      </c>
      <c r="FD4" s="1146" t="s">
        <v>300</v>
      </c>
      <c r="FE4" s="1146" t="s">
        <v>301</v>
      </c>
      <c r="FF4" s="1144" t="s">
        <v>294</v>
      </c>
      <c r="FG4" s="1145" t="s">
        <v>295</v>
      </c>
      <c r="FH4" s="1145" t="s">
        <v>296</v>
      </c>
      <c r="FI4" s="1145" t="s">
        <v>297</v>
      </c>
      <c r="FJ4" s="1145" t="s">
        <v>298</v>
      </c>
      <c r="FK4" s="1145" t="s">
        <v>299</v>
      </c>
      <c r="FL4" s="1146" t="s">
        <v>300</v>
      </c>
      <c r="FM4" s="1147" t="s">
        <v>301</v>
      </c>
      <c r="FN4" s="1144" t="s">
        <v>294</v>
      </c>
      <c r="FO4" s="1145" t="s">
        <v>295</v>
      </c>
      <c r="FP4" s="1145" t="s">
        <v>296</v>
      </c>
      <c r="FQ4" s="1145" t="s">
        <v>297</v>
      </c>
      <c r="FR4" s="1145" t="s">
        <v>298</v>
      </c>
      <c r="FS4" s="1145" t="s">
        <v>299</v>
      </c>
      <c r="FT4" s="1146" t="s">
        <v>300</v>
      </c>
      <c r="FU4" s="1146" t="s">
        <v>301</v>
      </c>
      <c r="FV4" s="1148" t="s">
        <v>294</v>
      </c>
      <c r="FW4" s="1145" t="s">
        <v>295</v>
      </c>
      <c r="FX4" s="1145" t="s">
        <v>296</v>
      </c>
      <c r="FY4" s="1145" t="s">
        <v>297</v>
      </c>
      <c r="FZ4" s="1145" t="s">
        <v>298</v>
      </c>
      <c r="GA4" s="1145" t="s">
        <v>299</v>
      </c>
      <c r="GB4" s="1146" t="s">
        <v>300</v>
      </c>
      <c r="GC4" s="1146" t="s">
        <v>301</v>
      </c>
      <c r="GD4" s="1144" t="s">
        <v>294</v>
      </c>
      <c r="GE4" s="1145" t="s">
        <v>295</v>
      </c>
      <c r="GF4" s="1145" t="s">
        <v>296</v>
      </c>
      <c r="GG4" s="1145" t="s">
        <v>297</v>
      </c>
      <c r="GH4" s="1145" t="s">
        <v>298</v>
      </c>
      <c r="GI4" s="1145" t="s">
        <v>299</v>
      </c>
      <c r="GJ4" s="1146" t="s">
        <v>300</v>
      </c>
      <c r="GK4" s="1146" t="s">
        <v>301</v>
      </c>
    </row>
    <row r="5" spans="1:193" x14ac:dyDescent="0.3">
      <c r="A5" s="1149" t="s">
        <v>304</v>
      </c>
      <c r="B5" s="1150"/>
      <c r="C5" s="1151">
        <v>9699</v>
      </c>
      <c r="D5" s="1151">
        <v>390</v>
      </c>
      <c r="E5" s="1151">
        <v>154</v>
      </c>
      <c r="F5" s="1151">
        <v>209</v>
      </c>
      <c r="G5" s="1152">
        <v>403</v>
      </c>
      <c r="H5" s="1153">
        <v>10855</v>
      </c>
      <c r="I5" s="1154">
        <v>436.31</v>
      </c>
      <c r="J5" s="1155"/>
      <c r="K5" s="1156">
        <v>121</v>
      </c>
      <c r="L5" s="1156"/>
      <c r="M5" s="1156"/>
      <c r="N5" s="1156"/>
      <c r="O5" s="1157"/>
      <c r="P5" s="1158">
        <v>121</v>
      </c>
      <c r="Q5" s="1154">
        <v>2.68</v>
      </c>
      <c r="R5" s="1155">
        <v>8</v>
      </c>
      <c r="S5" s="1156">
        <v>1202</v>
      </c>
      <c r="T5" s="1156">
        <v>298</v>
      </c>
      <c r="U5" s="1156">
        <v>132</v>
      </c>
      <c r="V5" s="1156"/>
      <c r="W5" s="1157"/>
      <c r="X5" s="1158">
        <v>1640</v>
      </c>
      <c r="Y5" s="1320">
        <v>37.223799999999997</v>
      </c>
      <c r="Z5" s="1159"/>
      <c r="AA5" s="1160">
        <v>33651</v>
      </c>
      <c r="AB5" s="1160"/>
      <c r="AC5" s="1160"/>
      <c r="AD5" s="1160"/>
      <c r="AE5" s="1161"/>
      <c r="AF5" s="1162">
        <v>33651</v>
      </c>
      <c r="AG5" s="1158">
        <v>338</v>
      </c>
      <c r="AH5" s="1155"/>
      <c r="AI5" s="1160">
        <v>217</v>
      </c>
      <c r="AJ5" s="1160"/>
      <c r="AK5" s="1160"/>
      <c r="AL5" s="1160"/>
      <c r="AM5" s="1161"/>
      <c r="AN5" s="1162">
        <v>217</v>
      </c>
      <c r="AO5" s="1154">
        <v>6.57</v>
      </c>
      <c r="AP5" s="1155"/>
      <c r="AQ5" s="1156">
        <v>70</v>
      </c>
      <c r="AR5" s="1156"/>
      <c r="AS5" s="1156"/>
      <c r="AT5" s="1156"/>
      <c r="AU5" s="1157"/>
      <c r="AV5" s="1158">
        <v>70</v>
      </c>
      <c r="AW5" s="1154">
        <v>1.47</v>
      </c>
      <c r="AX5" s="1155"/>
      <c r="AY5" s="1160">
        <v>7</v>
      </c>
      <c r="AZ5" s="1160"/>
      <c r="BA5" s="1160"/>
      <c r="BB5" s="1160"/>
      <c r="BC5" s="1161"/>
      <c r="BD5" s="1162">
        <v>7</v>
      </c>
      <c r="BE5" s="1154">
        <v>0.19</v>
      </c>
      <c r="BF5" s="1155"/>
      <c r="BG5" s="1156"/>
      <c r="BH5" s="1156"/>
      <c r="BI5" s="1156"/>
      <c r="BJ5" s="1156"/>
      <c r="BK5" s="1157"/>
      <c r="BL5" s="1158"/>
      <c r="BM5" s="1327"/>
      <c r="BN5" s="1155">
        <v>60</v>
      </c>
      <c r="BO5" s="1156">
        <v>13458</v>
      </c>
      <c r="BP5" s="1156">
        <v>147</v>
      </c>
      <c r="BQ5" s="1156">
        <v>17</v>
      </c>
      <c r="BR5" s="1156">
        <v>9</v>
      </c>
      <c r="BS5" s="1157">
        <v>10</v>
      </c>
      <c r="BT5" s="1158">
        <v>13701</v>
      </c>
      <c r="BU5" s="1327">
        <v>150.81</v>
      </c>
      <c r="BV5" s="1155"/>
      <c r="BW5" s="1156">
        <v>939</v>
      </c>
      <c r="BX5" s="1156">
        <v>206</v>
      </c>
      <c r="BY5" s="1156">
        <v>133</v>
      </c>
      <c r="BZ5" s="1156">
        <v>392</v>
      </c>
      <c r="CA5" s="1157">
        <v>49</v>
      </c>
      <c r="CB5" s="1158">
        <v>1719</v>
      </c>
      <c r="CC5" s="1327">
        <v>20.36</v>
      </c>
      <c r="CD5" s="1321">
        <v>2920</v>
      </c>
      <c r="CE5" s="1160">
        <v>50281</v>
      </c>
      <c r="CF5" s="1160">
        <v>90</v>
      </c>
      <c r="CG5" s="1160"/>
      <c r="CH5" s="1160"/>
      <c r="CI5" s="1161"/>
      <c r="CJ5" s="1162">
        <f>SUM(CD5:CI5)</f>
        <v>53291</v>
      </c>
      <c r="CK5" s="1154">
        <v>716.82</v>
      </c>
      <c r="CL5" s="1155">
        <v>19679</v>
      </c>
      <c r="CM5" s="1156">
        <v>4587</v>
      </c>
      <c r="CN5" s="1156">
        <v>700</v>
      </c>
      <c r="CO5" s="1156">
        <v>212</v>
      </c>
      <c r="CP5" s="1156">
        <v>409</v>
      </c>
      <c r="CQ5" s="1157">
        <v>129</v>
      </c>
      <c r="CR5" s="1158">
        <f>SUM(CL5:CQ5)</f>
        <v>25716</v>
      </c>
      <c r="CS5" s="1154">
        <v>463.95</v>
      </c>
      <c r="CT5" s="1159"/>
      <c r="CU5" s="1156">
        <v>1804</v>
      </c>
      <c r="CV5" s="1156">
        <v>429</v>
      </c>
      <c r="CW5" s="1156">
        <v>65</v>
      </c>
      <c r="CX5" s="1156">
        <v>15</v>
      </c>
      <c r="CY5" s="1156">
        <v>1</v>
      </c>
      <c r="CZ5" s="1163">
        <f>SUM(CT5:CY5)</f>
        <v>2314</v>
      </c>
      <c r="DA5" s="1158">
        <v>44.25</v>
      </c>
      <c r="DB5" s="1159"/>
      <c r="DC5" s="1156">
        <v>200</v>
      </c>
      <c r="DD5" s="1156">
        <v>28</v>
      </c>
      <c r="DE5" s="1156">
        <v>5</v>
      </c>
      <c r="DF5" s="1156">
        <v>15</v>
      </c>
      <c r="DG5" s="1157">
        <v>7</v>
      </c>
      <c r="DH5" s="1158">
        <f>SUM(DB5:DG5)</f>
        <v>255</v>
      </c>
      <c r="DI5" s="1158">
        <v>499.96</v>
      </c>
      <c r="DJ5" s="1159">
        <v>1924</v>
      </c>
      <c r="DK5" s="1156">
        <v>4972</v>
      </c>
      <c r="DL5" s="1156">
        <v>25</v>
      </c>
      <c r="DM5" s="1156">
        <v>18</v>
      </c>
      <c r="DN5" s="1156">
        <v>42</v>
      </c>
      <c r="DO5" s="1157"/>
      <c r="DP5" s="1158">
        <f>SUM(DJ5:DO5)</f>
        <v>6981</v>
      </c>
      <c r="DQ5" s="1158">
        <v>159.38999999999999</v>
      </c>
      <c r="DR5" s="1164">
        <v>19840</v>
      </c>
      <c r="DS5" s="1160">
        <v>974</v>
      </c>
      <c r="DT5" s="1160">
        <v>156</v>
      </c>
      <c r="DU5" s="1160"/>
      <c r="DV5" s="1160"/>
      <c r="DW5" s="1161"/>
      <c r="DX5" s="1162">
        <f>SUM(DR5:DW5)</f>
        <v>20970</v>
      </c>
      <c r="DY5" s="1158">
        <v>314.69</v>
      </c>
      <c r="DZ5" s="1159"/>
      <c r="EA5" s="1156">
        <v>1340</v>
      </c>
      <c r="EB5" s="1156">
        <v>338</v>
      </c>
      <c r="EC5" s="1156">
        <v>272</v>
      </c>
      <c r="ED5" s="1156">
        <v>119</v>
      </c>
      <c r="EE5" s="1157">
        <v>164</v>
      </c>
      <c r="EF5" s="1158">
        <f>SUM(DZ5:EE5)</f>
        <v>2233</v>
      </c>
      <c r="EG5" s="1158">
        <v>45.51</v>
      </c>
      <c r="EH5" s="1164"/>
      <c r="EI5" s="1160">
        <v>11436</v>
      </c>
      <c r="EJ5" s="1160">
        <v>5276</v>
      </c>
      <c r="EK5" s="1160">
        <v>189</v>
      </c>
      <c r="EL5" s="1160">
        <v>59</v>
      </c>
      <c r="EM5" s="1161">
        <v>81</v>
      </c>
      <c r="EN5" s="1162">
        <f>SUM(EH5:EM5)</f>
        <v>17041</v>
      </c>
      <c r="EO5" s="1158">
        <v>135.43</v>
      </c>
      <c r="EP5" s="1164"/>
      <c r="EQ5" s="1160"/>
      <c r="ER5" s="1160"/>
      <c r="ES5" s="1160"/>
      <c r="ET5" s="1160"/>
      <c r="EU5" s="1161"/>
      <c r="EV5" s="1162">
        <f>SUM(EP5:EU5)</f>
        <v>0</v>
      </c>
      <c r="EW5" s="1158"/>
      <c r="EX5" s="1165">
        <v>12869</v>
      </c>
      <c r="EY5" s="1166">
        <v>77547</v>
      </c>
      <c r="EZ5" s="1167">
        <v>125</v>
      </c>
      <c r="FA5" s="1167">
        <v>19</v>
      </c>
      <c r="FB5" s="1167">
        <v>4</v>
      </c>
      <c r="FC5" s="1168">
        <v>4</v>
      </c>
      <c r="FD5" s="1169">
        <v>90568</v>
      </c>
      <c r="FE5" s="1170">
        <v>1176.93</v>
      </c>
      <c r="FF5" s="1155">
        <v>24</v>
      </c>
      <c r="FG5" s="1156">
        <v>364</v>
      </c>
      <c r="FH5" s="1156">
        <v>140</v>
      </c>
      <c r="FI5" s="1156">
        <v>100</v>
      </c>
      <c r="FJ5" s="1156"/>
      <c r="FK5" s="1157"/>
      <c r="FL5" s="1158">
        <f>SUM(FF5:FK5)</f>
        <v>628</v>
      </c>
      <c r="FM5" s="1154">
        <v>0.69</v>
      </c>
      <c r="FN5" s="1164">
        <v>202</v>
      </c>
      <c r="FO5" s="1160">
        <v>1013</v>
      </c>
      <c r="FP5" s="1160">
        <v>2428</v>
      </c>
      <c r="FQ5" s="1160">
        <v>1487</v>
      </c>
      <c r="FR5" s="1160">
        <v>64</v>
      </c>
      <c r="FS5" s="1161">
        <v>7</v>
      </c>
      <c r="FT5" s="1162">
        <f>SUM(FN5:FS5)</f>
        <v>5201</v>
      </c>
      <c r="FU5" s="1158">
        <v>67.790000000000006</v>
      </c>
      <c r="FV5" s="1159">
        <v>1189</v>
      </c>
      <c r="FW5" s="1156">
        <v>708</v>
      </c>
      <c r="FX5" s="1156">
        <v>6</v>
      </c>
      <c r="FY5" s="1156">
        <v>1</v>
      </c>
      <c r="FZ5" s="1156">
        <v>2</v>
      </c>
      <c r="GA5" s="1157"/>
      <c r="GB5" s="1158">
        <f>SUM(FV5:GA5)</f>
        <v>1906</v>
      </c>
      <c r="GC5" s="1158">
        <v>30.58</v>
      </c>
      <c r="GD5" s="1321">
        <v>2741510</v>
      </c>
      <c r="GE5" s="1160">
        <v>2233983</v>
      </c>
      <c r="GF5" s="1160">
        <v>959711</v>
      </c>
      <c r="GG5" s="1160"/>
      <c r="GH5" s="1160"/>
      <c r="GI5" s="1161"/>
      <c r="GJ5" s="1162">
        <f>SUM(GD5:GI5)</f>
        <v>5935204</v>
      </c>
      <c r="GK5" s="1158">
        <v>68665.179999999993</v>
      </c>
    </row>
    <row r="6" spans="1:193" x14ac:dyDescent="0.3">
      <c r="A6" s="1171" t="s">
        <v>137</v>
      </c>
      <c r="B6" s="1172"/>
      <c r="C6" s="1173">
        <v>6138</v>
      </c>
      <c r="D6" s="1173">
        <v>69</v>
      </c>
      <c r="E6" s="1173">
        <v>10</v>
      </c>
      <c r="F6" s="1173">
        <v>3</v>
      </c>
      <c r="G6" s="1174"/>
      <c r="H6" s="1175">
        <v>6220</v>
      </c>
      <c r="I6" s="1176">
        <v>20.88</v>
      </c>
      <c r="J6" s="1177"/>
      <c r="K6" s="1178">
        <v>3206</v>
      </c>
      <c r="L6" s="1178"/>
      <c r="M6" s="1178"/>
      <c r="N6" s="1178"/>
      <c r="O6" s="1179">
        <v>1</v>
      </c>
      <c r="P6" s="1180">
        <v>3207</v>
      </c>
      <c r="Q6" s="1181">
        <v>13.22</v>
      </c>
      <c r="R6" s="1182">
        <v>1785</v>
      </c>
      <c r="S6" s="1178">
        <v>250</v>
      </c>
      <c r="T6" s="1178">
        <v>2</v>
      </c>
      <c r="U6" s="1178"/>
      <c r="V6" s="1178">
        <v>4</v>
      </c>
      <c r="W6" s="1179">
        <v>6</v>
      </c>
      <c r="X6" s="1180">
        <v>2047</v>
      </c>
      <c r="Y6" s="1181">
        <v>6.6135999999999999</v>
      </c>
      <c r="Z6" s="1183"/>
      <c r="AA6" s="1178">
        <v>26557</v>
      </c>
      <c r="AB6" s="1178"/>
      <c r="AC6" s="1178"/>
      <c r="AD6" s="1178"/>
      <c r="AE6" s="1179"/>
      <c r="AF6" s="1180">
        <v>26557</v>
      </c>
      <c r="AG6" s="1184">
        <v>64</v>
      </c>
      <c r="AH6" s="1177"/>
      <c r="AI6" s="1178">
        <v>12929</v>
      </c>
      <c r="AJ6" s="1178">
        <v>151</v>
      </c>
      <c r="AK6" s="1178">
        <v>17</v>
      </c>
      <c r="AL6" s="1178"/>
      <c r="AM6" s="1179"/>
      <c r="AN6" s="1180">
        <v>13097</v>
      </c>
      <c r="AO6" s="1181">
        <v>4.8899999999999997</v>
      </c>
      <c r="AP6" s="1182"/>
      <c r="AQ6" s="1178">
        <v>3004</v>
      </c>
      <c r="AR6" s="1178"/>
      <c r="AS6" s="1178"/>
      <c r="AT6" s="1178"/>
      <c r="AU6" s="1179"/>
      <c r="AV6" s="1180">
        <v>3004</v>
      </c>
      <c r="AW6" s="1181">
        <v>9.0500000000000007</v>
      </c>
      <c r="AX6" s="1182">
        <v>508</v>
      </c>
      <c r="AY6" s="1178">
        <v>2790</v>
      </c>
      <c r="AZ6" s="1178">
        <v>146</v>
      </c>
      <c r="BA6" s="1178">
        <v>58</v>
      </c>
      <c r="BB6" s="1178">
        <v>41</v>
      </c>
      <c r="BC6" s="1179">
        <v>4</v>
      </c>
      <c r="BD6" s="1180">
        <v>3547</v>
      </c>
      <c r="BE6" s="1181">
        <v>2.78</v>
      </c>
      <c r="BF6" s="1182">
        <v>161</v>
      </c>
      <c r="BG6" s="1178">
        <v>64</v>
      </c>
      <c r="BH6" s="1178">
        <v>40</v>
      </c>
      <c r="BI6" s="1178">
        <v>13</v>
      </c>
      <c r="BJ6" s="1178">
        <v>21</v>
      </c>
      <c r="BK6" s="1179">
        <v>3</v>
      </c>
      <c r="BL6" s="1180">
        <v>302</v>
      </c>
      <c r="BM6" s="1328">
        <v>2.1800000000000002</v>
      </c>
      <c r="BN6" s="1177">
        <v>12667</v>
      </c>
      <c r="BO6" s="1186">
        <v>11204</v>
      </c>
      <c r="BP6" s="1186">
        <v>13435</v>
      </c>
      <c r="BQ6" s="1186">
        <v>135</v>
      </c>
      <c r="BR6" s="1186">
        <v>11</v>
      </c>
      <c r="BS6" s="1187">
        <v>17</v>
      </c>
      <c r="BT6" s="1184">
        <v>37469</v>
      </c>
      <c r="BU6" s="1328">
        <v>140.24</v>
      </c>
      <c r="BV6" s="1182"/>
      <c r="BW6" s="1178">
        <v>1072</v>
      </c>
      <c r="BX6" s="1178">
        <v>34</v>
      </c>
      <c r="BY6" s="1178">
        <v>1</v>
      </c>
      <c r="BZ6" s="1178"/>
      <c r="CA6" s="1179"/>
      <c r="CB6" s="1180">
        <v>1107</v>
      </c>
      <c r="CC6" s="1328">
        <v>3.01</v>
      </c>
      <c r="CD6" s="1182">
        <v>1339</v>
      </c>
      <c r="CE6" s="1178">
        <v>1399</v>
      </c>
      <c r="CF6" s="1178"/>
      <c r="CG6" s="1178"/>
      <c r="CH6" s="1178"/>
      <c r="CI6" s="1179"/>
      <c r="CJ6" s="1188">
        <f t="shared" ref="CJ6:CJ12" si="0">SUM(CD6:CI6)</f>
        <v>2738</v>
      </c>
      <c r="CK6" s="1181">
        <v>10.039999999999999</v>
      </c>
      <c r="CL6" s="1182">
        <v>15016</v>
      </c>
      <c r="CM6" s="1178">
        <v>5466</v>
      </c>
      <c r="CN6" s="1178">
        <v>1636</v>
      </c>
      <c r="CO6" s="1178">
        <v>876</v>
      </c>
      <c r="CP6" s="1178">
        <v>4</v>
      </c>
      <c r="CQ6" s="1179">
        <v>7</v>
      </c>
      <c r="CR6" s="1180">
        <f t="shared" ref="CR6:CR12" si="1">SUM(CL6:CQ6)</f>
        <v>23005</v>
      </c>
      <c r="CS6" s="1181">
        <v>66.91</v>
      </c>
      <c r="CT6" s="1331"/>
      <c r="CU6" s="1189">
        <v>9768</v>
      </c>
      <c r="CV6" s="1189">
        <v>277</v>
      </c>
      <c r="CW6" s="1189">
        <v>168</v>
      </c>
      <c r="CX6" s="1189">
        <v>24</v>
      </c>
      <c r="CY6" s="1189"/>
      <c r="CZ6" s="1190">
        <f t="shared" ref="CZ6:CZ12" si="2">SUM(CT6:CY6)</f>
        <v>10237</v>
      </c>
      <c r="DA6" s="1191">
        <v>33.950000000000003</v>
      </c>
      <c r="DB6" s="1185"/>
      <c r="DC6" s="1178">
        <v>1114</v>
      </c>
      <c r="DD6" s="1178">
        <v>22</v>
      </c>
      <c r="DE6" s="1178">
        <v>21</v>
      </c>
      <c r="DF6" s="1178">
        <v>19</v>
      </c>
      <c r="DG6" s="1179"/>
      <c r="DH6" s="1180">
        <f t="shared" ref="DH6:DH12" si="3">SUM(DB6:DG6)</f>
        <v>1176</v>
      </c>
      <c r="DI6" s="1184">
        <v>316.31</v>
      </c>
      <c r="DJ6" s="1185">
        <v>1960</v>
      </c>
      <c r="DK6" s="1178">
        <v>115</v>
      </c>
      <c r="DL6" s="1178">
        <v>33</v>
      </c>
      <c r="DM6" s="1178">
        <v>6</v>
      </c>
      <c r="DN6" s="1178">
        <v>1</v>
      </c>
      <c r="DO6" s="1179"/>
      <c r="DP6" s="1180">
        <f t="shared" ref="DP6:DP12" si="4">SUM(DJ6:DO6)</f>
        <v>2115</v>
      </c>
      <c r="DQ6" s="1184">
        <v>9.1199999999999992</v>
      </c>
      <c r="DR6" s="1185">
        <v>11616</v>
      </c>
      <c r="DS6" s="1178"/>
      <c r="DT6" s="1178"/>
      <c r="DU6" s="1178"/>
      <c r="DV6" s="1178"/>
      <c r="DW6" s="1179"/>
      <c r="DX6" s="1180">
        <f t="shared" ref="DX6:DX12" si="5">SUM(DR6:DW6)</f>
        <v>11616</v>
      </c>
      <c r="DY6" s="1184">
        <v>27.57</v>
      </c>
      <c r="DZ6" s="1185">
        <v>18</v>
      </c>
      <c r="EA6" s="1178">
        <v>7594</v>
      </c>
      <c r="EB6" s="1178">
        <v>327</v>
      </c>
      <c r="EC6" s="1178">
        <v>333</v>
      </c>
      <c r="ED6" s="1178"/>
      <c r="EE6" s="1179"/>
      <c r="EF6" s="1180">
        <f t="shared" ref="EF6:EF12" si="6">SUM(DZ6:EE6)</f>
        <v>8272</v>
      </c>
      <c r="EG6" s="1184">
        <v>18.78</v>
      </c>
      <c r="EH6" s="1185"/>
      <c r="EI6" s="1178">
        <v>45630</v>
      </c>
      <c r="EJ6" s="1178">
        <v>952</v>
      </c>
      <c r="EK6" s="1178">
        <v>532</v>
      </c>
      <c r="EL6" s="1178">
        <v>716</v>
      </c>
      <c r="EM6" s="1179">
        <v>655</v>
      </c>
      <c r="EN6" s="1180">
        <f t="shared" ref="EN6:EN12" si="7">SUM(EH6:EM6)</f>
        <v>48485</v>
      </c>
      <c r="EO6" s="1184">
        <v>127.02</v>
      </c>
      <c r="EP6" s="1192"/>
      <c r="EQ6" s="1178"/>
      <c r="ER6" s="1178"/>
      <c r="ES6" s="1178"/>
      <c r="ET6" s="1178"/>
      <c r="EU6" s="1179"/>
      <c r="EV6" s="1180">
        <f t="shared" ref="EV6:EV12" si="8">SUM(EP6:EU6)</f>
        <v>0</v>
      </c>
      <c r="EW6" s="1184"/>
      <c r="EX6" s="1193">
        <v>52258</v>
      </c>
      <c r="EY6" s="1194">
        <v>4578</v>
      </c>
      <c r="EZ6" s="1194">
        <v>580</v>
      </c>
      <c r="FA6" s="1194">
        <v>489</v>
      </c>
      <c r="FB6" s="1194">
        <v>463</v>
      </c>
      <c r="FC6" s="1195">
        <v>304</v>
      </c>
      <c r="FD6" s="1196">
        <v>58672</v>
      </c>
      <c r="FE6" s="1197">
        <v>216.26</v>
      </c>
      <c r="FF6" s="1198">
        <v>1336</v>
      </c>
      <c r="FG6" s="1199">
        <v>1697</v>
      </c>
      <c r="FH6" s="1199">
        <v>153</v>
      </c>
      <c r="FI6" s="1199">
        <v>64</v>
      </c>
      <c r="FJ6" s="1199">
        <v>78</v>
      </c>
      <c r="FK6" s="1200">
        <v>42</v>
      </c>
      <c r="FL6" s="1201">
        <f t="shared" ref="FL6:FL12" si="9">SUM(FF6:FK6)</f>
        <v>3370</v>
      </c>
      <c r="FM6" s="1202">
        <v>1.85</v>
      </c>
      <c r="FN6" s="1203">
        <v>88</v>
      </c>
      <c r="FO6" s="1204">
        <v>321</v>
      </c>
      <c r="FP6" s="1204">
        <v>752</v>
      </c>
      <c r="FQ6" s="1204"/>
      <c r="FR6" s="1204"/>
      <c r="FS6" s="1205"/>
      <c r="FT6" s="1206">
        <f t="shared" ref="FT6:FT12" si="10">SUM(FN6:FS6)</f>
        <v>1161</v>
      </c>
      <c r="FU6" s="1207">
        <v>7.44</v>
      </c>
      <c r="FV6" s="1185">
        <v>84578</v>
      </c>
      <c r="FW6" s="1178">
        <v>1663</v>
      </c>
      <c r="FX6" s="1178">
        <v>12</v>
      </c>
      <c r="FY6" s="1178">
        <v>1</v>
      </c>
      <c r="FZ6" s="1178"/>
      <c r="GA6" s="1179"/>
      <c r="GB6" s="1180">
        <f t="shared" ref="GB6:GB12" si="11">SUM(FV6:GA6)</f>
        <v>86254</v>
      </c>
      <c r="GC6" s="1184">
        <v>69.87</v>
      </c>
      <c r="GD6" s="1332">
        <v>6609561</v>
      </c>
      <c r="GE6" s="1204">
        <v>776782</v>
      </c>
      <c r="GF6" s="1204">
        <v>392130</v>
      </c>
      <c r="GG6" s="1204"/>
      <c r="GH6" s="1204"/>
      <c r="GI6" s="1205"/>
      <c r="GJ6" s="1206">
        <f t="shared" ref="GJ6:GJ12" si="12">SUM(GD6:GI6)</f>
        <v>7778473</v>
      </c>
      <c r="GK6" s="1207">
        <v>16965.47</v>
      </c>
    </row>
    <row r="7" spans="1:193" x14ac:dyDescent="0.3">
      <c r="A7" s="1171" t="s">
        <v>305</v>
      </c>
      <c r="B7" s="1211">
        <v>4612</v>
      </c>
      <c r="C7" s="1173"/>
      <c r="D7" s="1173"/>
      <c r="E7" s="1173"/>
      <c r="F7" s="1173"/>
      <c r="G7" s="1174"/>
      <c r="H7" s="1175">
        <v>4612</v>
      </c>
      <c r="I7" s="1176">
        <v>4.32</v>
      </c>
      <c r="J7" s="1177"/>
      <c r="K7" s="1178"/>
      <c r="L7" s="1178"/>
      <c r="M7" s="1178"/>
      <c r="N7" s="1178"/>
      <c r="O7" s="1179"/>
      <c r="P7" s="1180"/>
      <c r="Q7" s="1181"/>
      <c r="R7" s="1182">
        <v>1194</v>
      </c>
      <c r="S7" s="1178">
        <v>148</v>
      </c>
      <c r="T7" s="1178">
        <v>48</v>
      </c>
      <c r="U7" s="1178">
        <v>42</v>
      </c>
      <c r="V7" s="1178">
        <v>34</v>
      </c>
      <c r="W7" s="1179">
        <v>59</v>
      </c>
      <c r="X7" s="1180">
        <v>15125</v>
      </c>
      <c r="Y7" s="1181">
        <v>0.47939999999999999</v>
      </c>
      <c r="Z7" s="1183"/>
      <c r="AA7" s="1178">
        <v>4300</v>
      </c>
      <c r="AB7" s="1178"/>
      <c r="AC7" s="1178"/>
      <c r="AD7" s="1178"/>
      <c r="AE7" s="1179"/>
      <c r="AF7" s="1180">
        <v>4300</v>
      </c>
      <c r="AG7" s="1184">
        <v>2</v>
      </c>
      <c r="AH7" s="1177"/>
      <c r="AI7" s="1178">
        <v>48</v>
      </c>
      <c r="AJ7" s="1178"/>
      <c r="AK7" s="1178"/>
      <c r="AL7" s="1178"/>
      <c r="AM7" s="1179"/>
      <c r="AN7" s="1180">
        <v>48</v>
      </c>
      <c r="AO7" s="1181">
        <v>1.69</v>
      </c>
      <c r="AP7" s="1182">
        <v>211</v>
      </c>
      <c r="AQ7" s="1178">
        <v>27</v>
      </c>
      <c r="AR7" s="1178"/>
      <c r="AS7" s="1178"/>
      <c r="AT7" s="1178"/>
      <c r="AU7" s="1179"/>
      <c r="AV7" s="1180">
        <v>238</v>
      </c>
      <c r="AW7" s="1181">
        <v>0.85</v>
      </c>
      <c r="AX7" s="1182"/>
      <c r="AY7" s="1178"/>
      <c r="AZ7" s="1178"/>
      <c r="BA7" s="1178"/>
      <c r="BB7" s="1178"/>
      <c r="BC7" s="1179"/>
      <c r="BD7" s="1180"/>
      <c r="BE7" s="1181"/>
      <c r="BF7" s="1182">
        <v>417</v>
      </c>
      <c r="BG7" s="1178">
        <v>25</v>
      </c>
      <c r="BH7" s="1178">
        <v>19</v>
      </c>
      <c r="BI7" s="1178">
        <v>1</v>
      </c>
      <c r="BJ7" s="1178"/>
      <c r="BK7" s="1179"/>
      <c r="BL7" s="1180">
        <v>462</v>
      </c>
      <c r="BM7" s="1328">
        <v>0.34</v>
      </c>
      <c r="BN7" s="1182"/>
      <c r="BO7" s="1178">
        <v>1787</v>
      </c>
      <c r="BP7" s="1178"/>
      <c r="BQ7" s="1178"/>
      <c r="BR7" s="1178"/>
      <c r="BS7" s="1179"/>
      <c r="BT7" s="1180">
        <v>1787</v>
      </c>
      <c r="BU7" s="1328">
        <v>1.49</v>
      </c>
      <c r="BV7" s="1182"/>
      <c r="BW7" s="1178">
        <v>459</v>
      </c>
      <c r="BX7" s="1178">
        <v>15</v>
      </c>
      <c r="BY7" s="1178">
        <v>5</v>
      </c>
      <c r="BZ7" s="1178">
        <v>74</v>
      </c>
      <c r="CA7" s="1179">
        <v>10</v>
      </c>
      <c r="CB7" s="1180">
        <v>563</v>
      </c>
      <c r="CC7" s="1328">
        <v>0.06</v>
      </c>
      <c r="CD7" s="1182">
        <v>43964</v>
      </c>
      <c r="CE7" s="1178">
        <v>2887</v>
      </c>
      <c r="CF7" s="1178">
        <v>9</v>
      </c>
      <c r="CG7" s="1178">
        <v>1</v>
      </c>
      <c r="CH7" s="1178">
        <v>1</v>
      </c>
      <c r="CI7" s="1179"/>
      <c r="CJ7" s="1188">
        <f t="shared" si="0"/>
        <v>46862</v>
      </c>
      <c r="CK7" s="1181">
        <v>150.1</v>
      </c>
      <c r="CL7" s="1182">
        <v>7120</v>
      </c>
      <c r="CM7" s="1178">
        <v>419</v>
      </c>
      <c r="CN7" s="1178">
        <v>12814</v>
      </c>
      <c r="CO7" s="1178">
        <v>9304</v>
      </c>
      <c r="CP7" s="1178">
        <v>403</v>
      </c>
      <c r="CQ7" s="1179">
        <v>42</v>
      </c>
      <c r="CR7" s="1180">
        <f t="shared" si="1"/>
        <v>30102</v>
      </c>
      <c r="CS7" s="1181">
        <v>42.13</v>
      </c>
      <c r="CT7" s="1331"/>
      <c r="CU7" s="1189"/>
      <c r="CV7" s="1189"/>
      <c r="CW7" s="1189"/>
      <c r="CX7" s="1189"/>
      <c r="CY7" s="1189"/>
      <c r="CZ7" s="1190">
        <f t="shared" si="2"/>
        <v>0</v>
      </c>
      <c r="DA7" s="1191"/>
      <c r="DB7" s="1185"/>
      <c r="DC7" s="1178">
        <v>7</v>
      </c>
      <c r="DD7" s="1178"/>
      <c r="DE7" s="1178"/>
      <c r="DF7" s="1178"/>
      <c r="DG7" s="1179"/>
      <c r="DH7" s="1180">
        <f t="shared" si="3"/>
        <v>7</v>
      </c>
      <c r="DI7" s="1184">
        <v>0.44</v>
      </c>
      <c r="DJ7" s="1185">
        <v>872</v>
      </c>
      <c r="DK7" s="1178">
        <v>118</v>
      </c>
      <c r="DL7" s="1178">
        <v>5</v>
      </c>
      <c r="DM7" s="1178"/>
      <c r="DN7" s="1178">
        <v>2</v>
      </c>
      <c r="DO7" s="1179"/>
      <c r="DP7" s="1180">
        <f t="shared" si="4"/>
        <v>997</v>
      </c>
      <c r="DQ7" s="1184">
        <v>1.7</v>
      </c>
      <c r="DR7" s="1185">
        <v>686</v>
      </c>
      <c r="DS7" s="1178"/>
      <c r="DT7" s="1178"/>
      <c r="DU7" s="1178"/>
      <c r="DV7" s="1178"/>
      <c r="DW7" s="1179"/>
      <c r="DX7" s="1180">
        <f t="shared" si="5"/>
        <v>686</v>
      </c>
      <c r="DY7" s="1184">
        <v>1.67</v>
      </c>
      <c r="DZ7" s="1185"/>
      <c r="EA7" s="1178">
        <v>205</v>
      </c>
      <c r="EB7" s="1178"/>
      <c r="EC7" s="1178"/>
      <c r="ED7" s="1178"/>
      <c r="EE7" s="1179"/>
      <c r="EF7" s="1180">
        <f t="shared" si="6"/>
        <v>205</v>
      </c>
      <c r="EG7" s="1184">
        <v>0.33</v>
      </c>
      <c r="EH7" s="1185"/>
      <c r="EI7" s="1178">
        <v>724</v>
      </c>
      <c r="EJ7" s="1178"/>
      <c r="EK7" s="1178"/>
      <c r="EL7" s="1178"/>
      <c r="EM7" s="1179"/>
      <c r="EN7" s="1180">
        <f t="shared" si="7"/>
        <v>724</v>
      </c>
      <c r="EO7" s="1184">
        <v>0.52</v>
      </c>
      <c r="EP7" s="1192"/>
      <c r="EQ7" s="1178"/>
      <c r="ER7" s="1178"/>
      <c r="ES7" s="1178"/>
      <c r="ET7" s="1178"/>
      <c r="EU7" s="1179"/>
      <c r="EV7" s="1180">
        <f t="shared" si="8"/>
        <v>0</v>
      </c>
      <c r="EW7" s="1184"/>
      <c r="EX7" s="1193">
        <v>105332</v>
      </c>
      <c r="EY7" s="1194"/>
      <c r="EZ7" s="1194"/>
      <c r="FA7" s="1194"/>
      <c r="FB7" s="1194"/>
      <c r="FC7" s="1195"/>
      <c r="FD7" s="1196">
        <v>105332</v>
      </c>
      <c r="FE7" s="1197">
        <v>47.11</v>
      </c>
      <c r="FF7" s="1198">
        <v>43</v>
      </c>
      <c r="FG7" s="1199">
        <v>74</v>
      </c>
      <c r="FH7" s="1199">
        <v>54</v>
      </c>
      <c r="FI7" s="1199"/>
      <c r="FJ7" s="1199"/>
      <c r="FK7" s="1200"/>
      <c r="FL7" s="1201">
        <f t="shared" si="9"/>
        <v>171</v>
      </c>
      <c r="FM7" s="1202">
        <v>0.76</v>
      </c>
      <c r="FN7" s="1203">
        <v>0</v>
      </c>
      <c r="FO7" s="1204">
        <v>2731</v>
      </c>
      <c r="FP7" s="1204"/>
      <c r="FQ7" s="1204"/>
      <c r="FR7" s="1204"/>
      <c r="FS7" s="1205"/>
      <c r="FT7" s="1206">
        <f t="shared" si="10"/>
        <v>2731</v>
      </c>
      <c r="FU7" s="1207">
        <v>2.41</v>
      </c>
      <c r="FV7" s="1185">
        <v>418</v>
      </c>
      <c r="FW7" s="1178">
        <v>132</v>
      </c>
      <c r="FX7" s="1178"/>
      <c r="FY7" s="1178"/>
      <c r="FZ7" s="1178"/>
      <c r="GA7" s="1179"/>
      <c r="GB7" s="1180">
        <f t="shared" si="11"/>
        <v>550</v>
      </c>
      <c r="GC7" s="1184">
        <v>0.67</v>
      </c>
      <c r="GD7" s="1332">
        <v>16135965</v>
      </c>
      <c r="GE7" s="1204">
        <v>1945819</v>
      </c>
      <c r="GF7" s="1204">
        <v>114654</v>
      </c>
      <c r="GG7" s="1204"/>
      <c r="GH7" s="1204"/>
      <c r="GI7" s="1205"/>
      <c r="GJ7" s="1206">
        <f t="shared" si="12"/>
        <v>18196438</v>
      </c>
      <c r="GK7" s="1207">
        <v>131536.81</v>
      </c>
    </row>
    <row r="8" spans="1:193" x14ac:dyDescent="0.3">
      <c r="A8" s="1171" t="s">
        <v>139</v>
      </c>
      <c r="B8" s="1211">
        <v>3</v>
      </c>
      <c r="C8" s="1173">
        <v>53631</v>
      </c>
      <c r="D8" s="1173">
        <v>19</v>
      </c>
      <c r="E8" s="1173"/>
      <c r="F8" s="1173"/>
      <c r="G8" s="1174"/>
      <c r="H8" s="1175">
        <v>53653</v>
      </c>
      <c r="I8" s="1176">
        <v>1361.14</v>
      </c>
      <c r="J8" s="1177"/>
      <c r="K8" s="1178">
        <v>1965</v>
      </c>
      <c r="L8" s="1178">
        <v>8</v>
      </c>
      <c r="M8" s="1178">
        <v>2</v>
      </c>
      <c r="N8" s="1178">
        <v>2</v>
      </c>
      <c r="O8" s="1179"/>
      <c r="P8" s="1180">
        <v>1977</v>
      </c>
      <c r="Q8" s="1181">
        <v>46.87</v>
      </c>
      <c r="R8" s="1182"/>
      <c r="S8" s="1178">
        <v>3367</v>
      </c>
      <c r="T8" s="1178"/>
      <c r="U8" s="1178"/>
      <c r="V8" s="1178"/>
      <c r="W8" s="1179"/>
      <c r="X8" s="1180">
        <v>3367</v>
      </c>
      <c r="Y8" s="1181">
        <v>105.7334</v>
      </c>
      <c r="Z8" s="1183"/>
      <c r="AA8" s="1178">
        <v>23006</v>
      </c>
      <c r="AB8" s="1178"/>
      <c r="AC8" s="1178"/>
      <c r="AD8" s="1178"/>
      <c r="AE8" s="1179"/>
      <c r="AF8" s="1180">
        <v>23006</v>
      </c>
      <c r="AG8" s="1184">
        <v>202</v>
      </c>
      <c r="AH8" s="1177"/>
      <c r="AI8" s="1178">
        <v>2124</v>
      </c>
      <c r="AJ8" s="1178"/>
      <c r="AK8" s="1178"/>
      <c r="AL8" s="1178"/>
      <c r="AM8" s="1179"/>
      <c r="AN8" s="1180">
        <v>2124</v>
      </c>
      <c r="AO8" s="1181">
        <v>37.950000000000003</v>
      </c>
      <c r="AP8" s="1182"/>
      <c r="AQ8" s="1178">
        <v>1950</v>
      </c>
      <c r="AR8" s="1178">
        <v>8</v>
      </c>
      <c r="AS8" s="1178"/>
      <c r="AT8" s="1178"/>
      <c r="AU8" s="1179"/>
      <c r="AV8" s="1180">
        <v>1958</v>
      </c>
      <c r="AW8" s="1181">
        <v>92.9</v>
      </c>
      <c r="AX8" s="1182">
        <v>2144</v>
      </c>
      <c r="AY8" s="1178">
        <v>22640</v>
      </c>
      <c r="AZ8" s="1178">
        <v>63</v>
      </c>
      <c r="BA8" s="1178">
        <v>118</v>
      </c>
      <c r="BB8" s="1178">
        <v>11</v>
      </c>
      <c r="BC8" s="1179">
        <v>4</v>
      </c>
      <c r="BD8" s="1180">
        <v>24980</v>
      </c>
      <c r="BE8" s="1181">
        <v>89.07</v>
      </c>
      <c r="BF8" s="1182">
        <v>15</v>
      </c>
      <c r="BG8" s="1178">
        <v>313</v>
      </c>
      <c r="BH8" s="1178">
        <v>1</v>
      </c>
      <c r="BI8" s="1178">
        <v>4</v>
      </c>
      <c r="BJ8" s="1178">
        <v>28</v>
      </c>
      <c r="BK8" s="1179">
        <v>16</v>
      </c>
      <c r="BL8" s="1180">
        <v>377</v>
      </c>
      <c r="BM8" s="1328">
        <v>2.67</v>
      </c>
      <c r="BN8" s="1182"/>
      <c r="BO8" s="1178">
        <v>23698</v>
      </c>
      <c r="BP8" s="1178">
        <v>2117</v>
      </c>
      <c r="BQ8" s="1178">
        <v>27</v>
      </c>
      <c r="BR8" s="1178">
        <v>5</v>
      </c>
      <c r="BS8" s="1179">
        <v>28</v>
      </c>
      <c r="BT8" s="1180">
        <v>25875</v>
      </c>
      <c r="BU8" s="1328">
        <v>404.3</v>
      </c>
      <c r="BV8" s="1182"/>
      <c r="BW8" s="1178"/>
      <c r="BX8" s="1178"/>
      <c r="BY8" s="1178"/>
      <c r="BZ8" s="1178"/>
      <c r="CA8" s="1179">
        <v>3630</v>
      </c>
      <c r="CB8" s="1180">
        <v>3630</v>
      </c>
      <c r="CC8" s="1328">
        <v>31.65</v>
      </c>
      <c r="CD8" s="1182"/>
      <c r="CE8" s="1178">
        <v>28867</v>
      </c>
      <c r="CF8" s="1178">
        <v>71</v>
      </c>
      <c r="CG8" s="1178">
        <v>9</v>
      </c>
      <c r="CH8" s="1178">
        <v>4</v>
      </c>
      <c r="CI8" s="1179">
        <v>3</v>
      </c>
      <c r="CJ8" s="1188">
        <f t="shared" si="0"/>
        <v>28954</v>
      </c>
      <c r="CK8" s="1181">
        <v>880.04</v>
      </c>
      <c r="CL8" s="1182"/>
      <c r="CM8" s="1178">
        <v>64460</v>
      </c>
      <c r="CN8" s="1178">
        <v>769</v>
      </c>
      <c r="CO8" s="1178">
        <v>171</v>
      </c>
      <c r="CP8" s="1178">
        <v>60</v>
      </c>
      <c r="CQ8" s="1179"/>
      <c r="CR8" s="1180">
        <f t="shared" si="1"/>
        <v>65460</v>
      </c>
      <c r="CS8" s="1181">
        <v>2112.67</v>
      </c>
      <c r="CT8" s="1331"/>
      <c r="CU8" s="1189">
        <v>2425</v>
      </c>
      <c r="CV8" s="1189"/>
      <c r="CW8" s="1189"/>
      <c r="CX8" s="1189"/>
      <c r="CY8" s="1189"/>
      <c r="CZ8" s="1190">
        <f t="shared" si="2"/>
        <v>2425</v>
      </c>
      <c r="DA8" s="1191">
        <v>35.54</v>
      </c>
      <c r="DB8" s="1185"/>
      <c r="DC8" s="1178">
        <v>5988</v>
      </c>
      <c r="DD8" s="1178">
        <v>443</v>
      </c>
      <c r="DE8" s="1178">
        <v>498</v>
      </c>
      <c r="DF8" s="1178">
        <v>1031</v>
      </c>
      <c r="DG8" s="1179">
        <v>775</v>
      </c>
      <c r="DH8" s="1180">
        <f t="shared" si="3"/>
        <v>8735</v>
      </c>
      <c r="DI8" s="1184">
        <v>80.48</v>
      </c>
      <c r="DJ8" s="1185">
        <v>16</v>
      </c>
      <c r="DK8" s="1178">
        <v>8084</v>
      </c>
      <c r="DL8" s="1178">
        <v>32</v>
      </c>
      <c r="DM8" s="1178"/>
      <c r="DN8" s="1178"/>
      <c r="DO8" s="1179"/>
      <c r="DP8" s="1180">
        <f t="shared" si="4"/>
        <v>8132</v>
      </c>
      <c r="DQ8" s="1184">
        <v>180.89</v>
      </c>
      <c r="DR8" s="1185"/>
      <c r="DS8" s="1178">
        <v>81954</v>
      </c>
      <c r="DT8" s="1178"/>
      <c r="DU8" s="1178"/>
      <c r="DV8" s="1178"/>
      <c r="DW8" s="1179"/>
      <c r="DX8" s="1180">
        <f t="shared" si="5"/>
        <v>81954</v>
      </c>
      <c r="DY8" s="1184">
        <v>858.55</v>
      </c>
      <c r="DZ8" s="1185"/>
      <c r="EA8" s="1178">
        <v>13756</v>
      </c>
      <c r="EB8" s="1178">
        <v>66</v>
      </c>
      <c r="EC8" s="1178"/>
      <c r="ED8" s="1178">
        <v>1</v>
      </c>
      <c r="EE8" s="1179">
        <v>1</v>
      </c>
      <c r="EF8" s="1180">
        <f t="shared" si="6"/>
        <v>13824</v>
      </c>
      <c r="EG8" s="1184">
        <v>238.65</v>
      </c>
      <c r="EH8" s="1185"/>
      <c r="EI8" s="1178">
        <v>48301</v>
      </c>
      <c r="EJ8" s="1178">
        <v>10850</v>
      </c>
      <c r="EK8" s="1178">
        <v>511</v>
      </c>
      <c r="EL8" s="1178">
        <v>1957</v>
      </c>
      <c r="EM8" s="1179">
        <v>58665</v>
      </c>
      <c r="EN8" s="1180">
        <f t="shared" si="7"/>
        <v>120284</v>
      </c>
      <c r="EO8" s="1184">
        <v>273.64999999999998</v>
      </c>
      <c r="EP8" s="1192"/>
      <c r="EQ8" s="1178"/>
      <c r="ER8" s="1178"/>
      <c r="ES8" s="1178"/>
      <c r="ET8" s="1178"/>
      <c r="EU8" s="1179"/>
      <c r="EV8" s="1180">
        <f t="shared" si="8"/>
        <v>0</v>
      </c>
      <c r="EW8" s="1184"/>
      <c r="EX8" s="1182"/>
      <c r="EY8" s="1194">
        <v>55209</v>
      </c>
      <c r="EZ8" s="1194">
        <v>77</v>
      </c>
      <c r="FA8" s="1194">
        <v>6</v>
      </c>
      <c r="FB8" s="1194"/>
      <c r="FC8" s="1195"/>
      <c r="FD8" s="1196">
        <v>55292</v>
      </c>
      <c r="FE8" s="1197">
        <v>1056.8800000000001</v>
      </c>
      <c r="FF8" s="1198"/>
      <c r="FG8" s="1199"/>
      <c r="FH8" s="1199"/>
      <c r="FI8" s="1199"/>
      <c r="FJ8" s="1199">
        <v>2</v>
      </c>
      <c r="FK8" s="1200">
        <v>3370</v>
      </c>
      <c r="FL8" s="1201">
        <f t="shared" si="9"/>
        <v>3372</v>
      </c>
      <c r="FM8" s="1202">
        <v>27.84</v>
      </c>
      <c r="FN8" s="1203">
        <v>656</v>
      </c>
      <c r="FO8" s="1204">
        <v>7002</v>
      </c>
      <c r="FP8" s="1204">
        <v>4077</v>
      </c>
      <c r="FQ8" s="1204">
        <v>28</v>
      </c>
      <c r="FR8" s="1204">
        <v>19</v>
      </c>
      <c r="FS8" s="1205">
        <v>5</v>
      </c>
      <c r="FT8" s="1206">
        <f t="shared" si="10"/>
        <v>11787</v>
      </c>
      <c r="FU8" s="1207">
        <v>117.21</v>
      </c>
      <c r="FV8" s="1185">
        <v>27</v>
      </c>
      <c r="FW8" s="1178">
        <v>9933</v>
      </c>
      <c r="FX8" s="1178">
        <v>3</v>
      </c>
      <c r="FY8" s="1178">
        <v>1</v>
      </c>
      <c r="FZ8" s="1178">
        <v>1</v>
      </c>
      <c r="GA8" s="1179"/>
      <c r="GB8" s="1180">
        <f t="shared" si="11"/>
        <v>9965</v>
      </c>
      <c r="GC8" s="1184">
        <v>154.08000000000001</v>
      </c>
      <c r="GD8" s="1332"/>
      <c r="GE8" s="1204">
        <v>2683265</v>
      </c>
      <c r="GF8" s="1204">
        <v>56570</v>
      </c>
      <c r="GG8" s="1204"/>
      <c r="GH8" s="1204"/>
      <c r="GI8" s="1205"/>
      <c r="GJ8" s="1206">
        <f t="shared" si="12"/>
        <v>2739835</v>
      </c>
      <c r="GK8" s="1207">
        <v>46219.67</v>
      </c>
    </row>
    <row r="9" spans="1:193" x14ac:dyDescent="0.3">
      <c r="A9" s="1171" t="s">
        <v>306</v>
      </c>
      <c r="B9" s="1211"/>
      <c r="C9" s="1173">
        <v>30163</v>
      </c>
      <c r="D9" s="1173">
        <v>367</v>
      </c>
      <c r="E9" s="1173">
        <v>214</v>
      </c>
      <c r="F9" s="1173">
        <v>463</v>
      </c>
      <c r="G9" s="1174">
        <v>67</v>
      </c>
      <c r="H9" s="1175">
        <v>31274</v>
      </c>
      <c r="I9" s="1176">
        <v>488.83</v>
      </c>
      <c r="J9" s="1177"/>
      <c r="K9" s="1178">
        <v>222</v>
      </c>
      <c r="L9" s="1178">
        <v>2</v>
      </c>
      <c r="M9" s="1178"/>
      <c r="N9" s="1178"/>
      <c r="O9" s="1179"/>
      <c r="P9" s="1180">
        <v>224</v>
      </c>
      <c r="Q9" s="1181">
        <v>1.73</v>
      </c>
      <c r="R9" s="1182"/>
      <c r="S9" s="1178"/>
      <c r="T9" s="1178"/>
      <c r="U9" s="1178"/>
      <c r="V9" s="1178"/>
      <c r="W9" s="1179"/>
      <c r="X9" s="1180"/>
      <c r="Y9" s="1181"/>
      <c r="Z9" s="1183"/>
      <c r="AA9" s="1178">
        <v>15222</v>
      </c>
      <c r="AB9" s="1178">
        <v>492</v>
      </c>
      <c r="AC9" s="1178">
        <v>7</v>
      </c>
      <c r="AD9" s="1178"/>
      <c r="AE9" s="1179"/>
      <c r="AF9" s="1180">
        <v>15721</v>
      </c>
      <c r="AG9" s="1184">
        <v>6</v>
      </c>
      <c r="AH9" s="1177"/>
      <c r="AI9" s="1178"/>
      <c r="AJ9" s="1178"/>
      <c r="AK9" s="1178"/>
      <c r="AL9" s="1178"/>
      <c r="AM9" s="1179"/>
      <c r="AN9" s="1180"/>
      <c r="AO9" s="1181"/>
      <c r="AP9" s="1182"/>
      <c r="AQ9" s="1178">
        <v>6439</v>
      </c>
      <c r="AR9" s="1178"/>
      <c r="AS9" s="1178"/>
      <c r="AT9" s="1178"/>
      <c r="AU9" s="1179"/>
      <c r="AV9" s="1180">
        <v>6439</v>
      </c>
      <c r="AW9" s="1181">
        <v>122.12</v>
      </c>
      <c r="AX9" s="1182"/>
      <c r="AY9" s="1178"/>
      <c r="AZ9" s="1178"/>
      <c r="BA9" s="1178"/>
      <c r="BB9" s="1178"/>
      <c r="BC9" s="1179"/>
      <c r="BD9" s="1180"/>
      <c r="BE9" s="1181"/>
      <c r="BF9" s="1182">
        <v>322</v>
      </c>
      <c r="BG9" s="1178">
        <v>47</v>
      </c>
      <c r="BH9" s="1178">
        <v>6</v>
      </c>
      <c r="BI9" s="1178"/>
      <c r="BJ9" s="1178"/>
      <c r="BK9" s="1179"/>
      <c r="BL9" s="1180">
        <v>375</v>
      </c>
      <c r="BM9" s="1328">
        <v>2.44</v>
      </c>
      <c r="BN9" s="1182"/>
      <c r="BO9" s="1178">
        <v>2405</v>
      </c>
      <c r="BP9" s="1178"/>
      <c r="BQ9" s="1178"/>
      <c r="BR9" s="1178"/>
      <c r="BS9" s="1179"/>
      <c r="BT9" s="1180">
        <v>2405</v>
      </c>
      <c r="BU9" s="1328">
        <v>1.48</v>
      </c>
      <c r="BV9" s="1182"/>
      <c r="BW9" s="1178"/>
      <c r="BX9" s="1178"/>
      <c r="BY9" s="1178"/>
      <c r="BZ9" s="1178"/>
      <c r="CA9" s="1179"/>
      <c r="CB9" s="1180"/>
      <c r="CC9" s="1328"/>
      <c r="CD9" s="1182"/>
      <c r="CE9" s="1178">
        <v>12952</v>
      </c>
      <c r="CF9" s="1178">
        <v>2752</v>
      </c>
      <c r="CG9" s="1178">
        <v>1167</v>
      </c>
      <c r="CH9" s="1178">
        <v>4458</v>
      </c>
      <c r="CI9" s="1179">
        <v>2386</v>
      </c>
      <c r="CJ9" s="1188">
        <f t="shared" si="0"/>
        <v>23715</v>
      </c>
      <c r="CK9" s="1181">
        <v>294.47000000000003</v>
      </c>
      <c r="CL9" s="1182"/>
      <c r="CM9" s="1178">
        <v>28</v>
      </c>
      <c r="CN9" s="1178">
        <v>7</v>
      </c>
      <c r="CO9" s="1178"/>
      <c r="CP9" s="1178"/>
      <c r="CQ9" s="1179"/>
      <c r="CR9" s="1180">
        <f t="shared" si="1"/>
        <v>35</v>
      </c>
      <c r="CS9" s="1181">
        <v>1.9</v>
      </c>
      <c r="CT9" s="1331"/>
      <c r="CU9" s="1189">
        <v>3</v>
      </c>
      <c r="CV9" s="1189"/>
      <c r="CW9" s="1189"/>
      <c r="CX9" s="1189"/>
      <c r="CY9" s="1189"/>
      <c r="CZ9" s="1190">
        <f t="shared" si="2"/>
        <v>3</v>
      </c>
      <c r="DA9" s="1191">
        <v>0.09</v>
      </c>
      <c r="DB9" s="1185"/>
      <c r="DC9" s="1178">
        <v>110</v>
      </c>
      <c r="DD9" s="1178">
        <v>2</v>
      </c>
      <c r="DE9" s="1178"/>
      <c r="DF9" s="1178"/>
      <c r="DG9" s="1179"/>
      <c r="DH9" s="1180">
        <f t="shared" si="3"/>
        <v>112</v>
      </c>
      <c r="DI9" s="1184">
        <v>42.18</v>
      </c>
      <c r="DJ9" s="1185">
        <v>-2</v>
      </c>
      <c r="DK9" s="1178">
        <v>341</v>
      </c>
      <c r="DL9" s="1178">
        <v>3</v>
      </c>
      <c r="DM9" s="1178">
        <v>4</v>
      </c>
      <c r="DN9" s="1178">
        <v>8</v>
      </c>
      <c r="DO9" s="1179"/>
      <c r="DP9" s="1180">
        <f t="shared" si="4"/>
        <v>354</v>
      </c>
      <c r="DQ9" s="1184">
        <v>9.14</v>
      </c>
      <c r="DR9" s="1185"/>
      <c r="DS9" s="1178">
        <v>61</v>
      </c>
      <c r="DT9" s="1178"/>
      <c r="DU9" s="1178"/>
      <c r="DV9" s="1178"/>
      <c r="DW9" s="1179"/>
      <c r="DX9" s="1180">
        <f t="shared" si="5"/>
        <v>61</v>
      </c>
      <c r="DY9" s="1184">
        <v>1.68</v>
      </c>
      <c r="DZ9" s="1185"/>
      <c r="EA9" s="1178">
        <v>26</v>
      </c>
      <c r="EB9" s="1178">
        <v>1</v>
      </c>
      <c r="EC9" s="1178"/>
      <c r="ED9" s="1178"/>
      <c r="EE9" s="1179"/>
      <c r="EF9" s="1180">
        <f t="shared" si="6"/>
        <v>27</v>
      </c>
      <c r="EG9" s="1184">
        <v>2.12</v>
      </c>
      <c r="EH9" s="1185"/>
      <c r="EI9" s="1178">
        <v>73</v>
      </c>
      <c r="EJ9" s="1178"/>
      <c r="EK9" s="1178"/>
      <c r="EL9" s="1178"/>
      <c r="EM9" s="1179"/>
      <c r="EN9" s="1180">
        <f t="shared" si="7"/>
        <v>73</v>
      </c>
      <c r="EO9" s="1184">
        <v>0.35</v>
      </c>
      <c r="EP9" s="1192"/>
      <c r="EQ9" s="1178"/>
      <c r="ER9" s="1178"/>
      <c r="ES9" s="1178"/>
      <c r="ET9" s="1178"/>
      <c r="EU9" s="1179"/>
      <c r="EV9" s="1180">
        <f t="shared" si="8"/>
        <v>0</v>
      </c>
      <c r="EW9" s="1184"/>
      <c r="EX9" s="1212"/>
      <c r="EY9" s="1194">
        <v>7385</v>
      </c>
      <c r="EZ9" s="1194">
        <v>11406</v>
      </c>
      <c r="FA9" s="1194">
        <v>2413</v>
      </c>
      <c r="FB9" s="1194">
        <v>4438</v>
      </c>
      <c r="FC9" s="1195">
        <v>7414</v>
      </c>
      <c r="FD9" s="1196">
        <v>33056</v>
      </c>
      <c r="FE9" s="1197">
        <v>331.78</v>
      </c>
      <c r="FF9" s="1198"/>
      <c r="FG9" s="1199"/>
      <c r="FH9" s="1199"/>
      <c r="FI9" s="1199"/>
      <c r="FJ9" s="1199"/>
      <c r="FK9" s="1200"/>
      <c r="FL9" s="1201">
        <f t="shared" si="9"/>
        <v>0</v>
      </c>
      <c r="FM9" s="1202"/>
      <c r="FN9" s="1203"/>
      <c r="FO9" s="1204">
        <v>539</v>
      </c>
      <c r="FP9" s="1204"/>
      <c r="FQ9" s="1204"/>
      <c r="FR9" s="1204"/>
      <c r="FS9" s="1205"/>
      <c r="FT9" s="1206">
        <f t="shared" si="10"/>
        <v>539</v>
      </c>
      <c r="FU9" s="1207">
        <v>5.23</v>
      </c>
      <c r="FV9" s="1185">
        <v>51419</v>
      </c>
      <c r="FW9" s="1178">
        <v>601</v>
      </c>
      <c r="FX9" s="1178">
        <v>7</v>
      </c>
      <c r="FY9" s="1178"/>
      <c r="FZ9" s="1178"/>
      <c r="GA9" s="1179">
        <v>1</v>
      </c>
      <c r="GB9" s="1180">
        <f t="shared" si="11"/>
        <v>52028</v>
      </c>
      <c r="GC9" s="1184">
        <v>55.96</v>
      </c>
      <c r="GD9" s="1332">
        <v>27831</v>
      </c>
      <c r="GE9" s="1204"/>
      <c r="GF9" s="1204"/>
      <c r="GG9" s="1204"/>
      <c r="GH9" s="1204"/>
      <c r="GI9" s="1205"/>
      <c r="GJ9" s="1206">
        <f t="shared" si="12"/>
        <v>27831</v>
      </c>
      <c r="GK9" s="1207">
        <v>2.42</v>
      </c>
    </row>
    <row r="10" spans="1:193" x14ac:dyDescent="0.3">
      <c r="A10" s="1213"/>
      <c r="B10" s="1211"/>
      <c r="C10" s="1214"/>
      <c r="D10" s="1214"/>
      <c r="E10" s="1214"/>
      <c r="F10" s="1214"/>
      <c r="G10" s="1215"/>
      <c r="H10" s="1216"/>
      <c r="I10" s="1217"/>
      <c r="J10" s="1210"/>
      <c r="K10" s="1218"/>
      <c r="L10" s="1218"/>
      <c r="M10" s="1218"/>
      <c r="N10" s="1218"/>
      <c r="O10" s="1219"/>
      <c r="P10" s="1220"/>
      <c r="Q10" s="1221"/>
      <c r="R10" s="1222"/>
      <c r="S10" s="1218"/>
      <c r="T10" s="1218"/>
      <c r="U10" s="1218"/>
      <c r="V10" s="1218"/>
      <c r="W10" s="1219"/>
      <c r="X10" s="1220"/>
      <c r="Y10" s="1221"/>
      <c r="Z10" s="1208"/>
      <c r="AA10" s="1218"/>
      <c r="AB10" s="1218"/>
      <c r="AC10" s="1218"/>
      <c r="AD10" s="1218"/>
      <c r="AE10" s="1219"/>
      <c r="AF10" s="1220"/>
      <c r="AG10" s="1209"/>
      <c r="AH10" s="1210"/>
      <c r="AI10" s="1218"/>
      <c r="AJ10" s="1218"/>
      <c r="AK10" s="1218"/>
      <c r="AL10" s="1218"/>
      <c r="AM10" s="1219"/>
      <c r="AN10" s="1220"/>
      <c r="AO10" s="1221"/>
      <c r="AP10" s="1222"/>
      <c r="AQ10" s="1218"/>
      <c r="AR10" s="1218"/>
      <c r="AS10" s="1218"/>
      <c r="AT10" s="1218"/>
      <c r="AU10" s="1219"/>
      <c r="AV10" s="1220"/>
      <c r="AW10" s="1221"/>
      <c r="AX10" s="1222"/>
      <c r="AY10" s="1218"/>
      <c r="AZ10" s="1218"/>
      <c r="BA10" s="1218"/>
      <c r="BB10" s="1218"/>
      <c r="BC10" s="1219"/>
      <c r="BD10" s="1220"/>
      <c r="BE10" s="1221"/>
      <c r="BF10" s="1222"/>
      <c r="BG10" s="1218"/>
      <c r="BH10" s="1218"/>
      <c r="BI10" s="1218"/>
      <c r="BJ10" s="1218"/>
      <c r="BK10" s="1219"/>
      <c r="BL10" s="1220"/>
      <c r="BM10" s="1329"/>
      <c r="BN10" s="1222"/>
      <c r="BO10" s="1218"/>
      <c r="BP10" s="1218"/>
      <c r="BQ10" s="1218"/>
      <c r="BR10" s="1218"/>
      <c r="BS10" s="1219"/>
      <c r="BT10" s="1220"/>
      <c r="BU10" s="1329"/>
      <c r="BV10" s="1222"/>
      <c r="BW10" s="1218"/>
      <c r="BX10" s="1218"/>
      <c r="BY10" s="1218"/>
      <c r="BZ10" s="1218"/>
      <c r="CA10" s="1219"/>
      <c r="CB10" s="1220"/>
      <c r="CC10" s="1329"/>
      <c r="CD10" s="1222"/>
      <c r="CE10" s="1218"/>
      <c r="CF10" s="1218"/>
      <c r="CG10" s="1218"/>
      <c r="CH10" s="1218"/>
      <c r="CI10" s="1219"/>
      <c r="CJ10" s="1188"/>
      <c r="CK10" s="1221"/>
      <c r="CL10" s="1222"/>
      <c r="CM10" s="1218"/>
      <c r="CN10" s="1218"/>
      <c r="CO10" s="1218"/>
      <c r="CP10" s="1218"/>
      <c r="CQ10" s="1219"/>
      <c r="CR10" s="1220"/>
      <c r="CS10" s="1221"/>
      <c r="CT10" s="1331"/>
      <c r="CU10" s="1189"/>
      <c r="CV10" s="1189"/>
      <c r="CW10" s="1189"/>
      <c r="CX10" s="1189"/>
      <c r="CY10" s="1189"/>
      <c r="CZ10" s="1190"/>
      <c r="DA10" s="1191"/>
      <c r="DB10" s="1223"/>
      <c r="DC10" s="1218"/>
      <c r="DD10" s="1218"/>
      <c r="DE10" s="1218"/>
      <c r="DF10" s="1218"/>
      <c r="DG10" s="1219"/>
      <c r="DH10" s="1220"/>
      <c r="DI10" s="1209"/>
      <c r="DJ10" s="1224"/>
      <c r="DK10" s="1225"/>
      <c r="DL10" s="1225"/>
      <c r="DM10" s="1225"/>
      <c r="DN10" s="1225"/>
      <c r="DO10" s="1226"/>
      <c r="DP10" s="1227"/>
      <c r="DQ10" s="1228"/>
      <c r="DR10" s="1223"/>
      <c r="DS10" s="1218"/>
      <c r="DT10" s="1218"/>
      <c r="DU10" s="1218"/>
      <c r="DV10" s="1218"/>
      <c r="DW10" s="1219"/>
      <c r="DX10" s="1220"/>
      <c r="DY10" s="1209"/>
      <c r="DZ10" s="1223"/>
      <c r="EA10" s="1218"/>
      <c r="EB10" s="1218"/>
      <c r="EC10" s="1218"/>
      <c r="ED10" s="1218"/>
      <c r="EE10" s="1219"/>
      <c r="EF10" s="1220"/>
      <c r="EG10" s="1209"/>
      <c r="EH10" s="1223"/>
      <c r="EI10" s="1218"/>
      <c r="EJ10" s="1218"/>
      <c r="EK10" s="1218"/>
      <c r="EL10" s="1218"/>
      <c r="EM10" s="1219"/>
      <c r="EN10" s="1220"/>
      <c r="EO10" s="1209"/>
      <c r="EP10" s="1192"/>
      <c r="EQ10" s="1178"/>
      <c r="ER10" s="1178"/>
      <c r="ES10" s="1178"/>
      <c r="ET10" s="1178"/>
      <c r="EU10" s="1179"/>
      <c r="EV10" s="1180"/>
      <c r="EW10" s="1184"/>
      <c r="EX10" s="1182"/>
      <c r="EY10" s="1178"/>
      <c r="EZ10" s="1178"/>
      <c r="FA10" s="1178"/>
      <c r="FB10" s="1178"/>
      <c r="FC10" s="1179"/>
      <c r="FD10" s="1196"/>
      <c r="FE10" s="1197">
        <v>0</v>
      </c>
      <c r="FF10" s="1198"/>
      <c r="FG10" s="1199"/>
      <c r="FH10" s="1199"/>
      <c r="FI10" s="1199"/>
      <c r="FJ10" s="1199"/>
      <c r="FK10" s="1200"/>
      <c r="FL10" s="1201"/>
      <c r="FM10" s="1202"/>
      <c r="FN10" s="1203"/>
      <c r="FO10" s="1204"/>
      <c r="FP10" s="1204"/>
      <c r="FQ10" s="1204"/>
      <c r="FR10" s="1204"/>
      <c r="FS10" s="1205"/>
      <c r="FT10" s="1206"/>
      <c r="FU10" s="1207"/>
      <c r="FV10" s="1223"/>
      <c r="FW10" s="1218"/>
      <c r="FX10" s="1218"/>
      <c r="FY10" s="1218"/>
      <c r="FZ10" s="1218"/>
      <c r="GA10" s="1219"/>
      <c r="GB10" s="1220"/>
      <c r="GC10" s="1209"/>
      <c r="GD10" s="1222"/>
      <c r="GE10" s="1218"/>
      <c r="GF10" s="1218"/>
      <c r="GG10" s="1218"/>
      <c r="GH10" s="1218"/>
      <c r="GI10" s="1219"/>
      <c r="GJ10" s="1220"/>
      <c r="GK10" s="1209"/>
    </row>
    <row r="11" spans="1:193" x14ac:dyDescent="0.3">
      <c r="A11" s="1171" t="s">
        <v>307</v>
      </c>
      <c r="B11" s="1211"/>
      <c r="C11" s="1229">
        <v>5909</v>
      </c>
      <c r="D11" s="1230"/>
      <c r="E11" s="1173"/>
      <c r="F11" s="1173"/>
      <c r="G11" s="1174"/>
      <c r="H11" s="1175">
        <v>5909</v>
      </c>
      <c r="I11" s="1176">
        <v>1106.3699999999999</v>
      </c>
      <c r="J11" s="1177"/>
      <c r="K11" s="1178">
        <v>21</v>
      </c>
      <c r="L11" s="1178"/>
      <c r="M11" s="1178"/>
      <c r="N11" s="1178"/>
      <c r="O11" s="1179"/>
      <c r="P11" s="1180">
        <v>21</v>
      </c>
      <c r="Q11" s="1181">
        <v>2.14</v>
      </c>
      <c r="R11" s="1182"/>
      <c r="S11" s="1178">
        <v>49</v>
      </c>
      <c r="T11" s="1178">
        <v>154</v>
      </c>
      <c r="U11" s="1178">
        <v>36</v>
      </c>
      <c r="V11" s="1178">
        <v>5</v>
      </c>
      <c r="W11" s="1179"/>
      <c r="X11" s="1180">
        <v>244</v>
      </c>
      <c r="Y11" s="1181">
        <v>4.0578000000000003</v>
      </c>
      <c r="Z11" s="1183"/>
      <c r="AA11" s="1178">
        <v>43131</v>
      </c>
      <c r="AB11" s="1178">
        <v>3106</v>
      </c>
      <c r="AC11" s="1178">
        <v>2867</v>
      </c>
      <c r="AD11" s="1178"/>
      <c r="AE11" s="1179"/>
      <c r="AF11" s="1180">
        <v>49104</v>
      </c>
      <c r="AG11" s="1184">
        <v>193</v>
      </c>
      <c r="AH11" s="1177"/>
      <c r="AI11" s="1178">
        <v>78</v>
      </c>
      <c r="AJ11" s="1178"/>
      <c r="AK11" s="1178"/>
      <c r="AL11" s="1178"/>
      <c r="AM11" s="1179"/>
      <c r="AN11" s="1180">
        <v>78</v>
      </c>
      <c r="AO11" s="1181">
        <v>7.92</v>
      </c>
      <c r="AP11" s="1182"/>
      <c r="AQ11" s="1178">
        <v>629</v>
      </c>
      <c r="AR11" s="1178"/>
      <c r="AS11" s="1178"/>
      <c r="AT11" s="1178"/>
      <c r="AU11" s="1179"/>
      <c r="AV11" s="1180">
        <v>629</v>
      </c>
      <c r="AW11" s="1181">
        <v>14.83</v>
      </c>
      <c r="AX11" s="1182"/>
      <c r="AY11" s="1178">
        <v>55806</v>
      </c>
      <c r="AZ11" s="1178">
        <v>385</v>
      </c>
      <c r="BA11" s="1178">
        <v>34</v>
      </c>
      <c r="BB11" s="1178"/>
      <c r="BC11" s="1179"/>
      <c r="BD11" s="1180">
        <v>56225</v>
      </c>
      <c r="BE11" s="1181">
        <v>212.74</v>
      </c>
      <c r="BF11" s="1182"/>
      <c r="BG11" s="1185">
        <v>185</v>
      </c>
      <c r="BH11" s="1178">
        <v>13</v>
      </c>
      <c r="BI11" s="1178"/>
      <c r="BJ11" s="1178"/>
      <c r="BK11" s="1179"/>
      <c r="BL11" s="1180">
        <v>198</v>
      </c>
      <c r="BM11" s="1328">
        <v>15.72</v>
      </c>
      <c r="BN11" s="1182"/>
      <c r="BO11" s="1178">
        <v>2393</v>
      </c>
      <c r="BP11" s="1178"/>
      <c r="BQ11" s="1178"/>
      <c r="BR11" s="1178"/>
      <c r="BS11" s="1179"/>
      <c r="BT11" s="1180">
        <v>2393</v>
      </c>
      <c r="BU11" s="1328">
        <v>87.5</v>
      </c>
      <c r="BV11" s="1182"/>
      <c r="BW11" s="1178">
        <v>169</v>
      </c>
      <c r="BX11" s="1178">
        <v>63</v>
      </c>
      <c r="BY11" s="1178">
        <v>6</v>
      </c>
      <c r="BZ11" s="1178"/>
      <c r="CA11" s="1179">
        <v>1</v>
      </c>
      <c r="CB11" s="1180">
        <v>239</v>
      </c>
      <c r="CC11" s="1328">
        <v>17.89</v>
      </c>
      <c r="CD11" s="1182"/>
      <c r="CE11" s="1178">
        <v>40769</v>
      </c>
      <c r="CF11" s="1178">
        <v>152</v>
      </c>
      <c r="CG11" s="1178">
        <v>2</v>
      </c>
      <c r="CH11" s="1178"/>
      <c r="CI11" s="1179"/>
      <c r="CJ11" s="1188">
        <f t="shared" si="0"/>
        <v>40923</v>
      </c>
      <c r="CK11" s="1181">
        <v>234.31</v>
      </c>
      <c r="CL11" s="1182"/>
      <c r="CM11" s="1178">
        <v>5813</v>
      </c>
      <c r="CN11" s="1178">
        <v>12</v>
      </c>
      <c r="CO11" s="1178"/>
      <c r="CP11" s="1178"/>
      <c r="CQ11" s="1179"/>
      <c r="CR11" s="1180">
        <f t="shared" si="1"/>
        <v>5825</v>
      </c>
      <c r="CS11" s="1181">
        <v>61.96</v>
      </c>
      <c r="CT11" s="1185"/>
      <c r="CU11" s="1178">
        <v>360</v>
      </c>
      <c r="CV11" s="1178"/>
      <c r="CW11" s="1178"/>
      <c r="CX11" s="1178"/>
      <c r="CY11" s="1178"/>
      <c r="CZ11" s="1231">
        <f t="shared" si="2"/>
        <v>360</v>
      </c>
      <c r="DA11" s="1184">
        <v>2.5499999999999998</v>
      </c>
      <c r="DB11" s="1185"/>
      <c r="DC11" s="1178">
        <v>2170</v>
      </c>
      <c r="DD11" s="1178">
        <v>129</v>
      </c>
      <c r="DE11" s="1178">
        <v>12</v>
      </c>
      <c r="DF11" s="1178">
        <v>1</v>
      </c>
      <c r="DG11" s="1179"/>
      <c r="DH11" s="1180">
        <f t="shared" si="3"/>
        <v>2312</v>
      </c>
      <c r="DI11" s="1184">
        <v>5500.95</v>
      </c>
      <c r="DJ11" s="1185"/>
      <c r="DK11" s="1178">
        <v>12362</v>
      </c>
      <c r="DL11" s="1178">
        <v>465</v>
      </c>
      <c r="DM11" s="1178">
        <v>32</v>
      </c>
      <c r="DN11" s="1178">
        <v>4</v>
      </c>
      <c r="DO11" s="1179"/>
      <c r="DP11" s="1180">
        <f t="shared" si="4"/>
        <v>12863</v>
      </c>
      <c r="DQ11" s="1184">
        <v>122.12</v>
      </c>
      <c r="DR11" s="1185"/>
      <c r="DS11" s="1178">
        <v>2551</v>
      </c>
      <c r="DT11" s="1178"/>
      <c r="DU11" s="1178"/>
      <c r="DV11" s="1178"/>
      <c r="DW11" s="1179"/>
      <c r="DX11" s="1180">
        <f t="shared" si="5"/>
        <v>2551</v>
      </c>
      <c r="DY11" s="1184">
        <v>38.54</v>
      </c>
      <c r="DZ11" s="1185"/>
      <c r="EA11" s="1178">
        <v>433</v>
      </c>
      <c r="EB11" s="1178"/>
      <c r="EC11" s="1178"/>
      <c r="ED11" s="1178"/>
      <c r="EE11" s="1179"/>
      <c r="EF11" s="1180">
        <f t="shared" si="6"/>
        <v>433</v>
      </c>
      <c r="EG11" s="1184">
        <v>45.26</v>
      </c>
      <c r="EH11" s="1185"/>
      <c r="EI11" s="1178">
        <v>1275</v>
      </c>
      <c r="EJ11" s="1178">
        <v>17</v>
      </c>
      <c r="EK11" s="1178">
        <v>17</v>
      </c>
      <c r="EL11" s="1178">
        <v>5</v>
      </c>
      <c r="EM11" s="1179"/>
      <c r="EN11" s="1180">
        <f t="shared" si="7"/>
        <v>1314</v>
      </c>
      <c r="EO11" s="1184">
        <v>7.89</v>
      </c>
      <c r="EP11" s="1192"/>
      <c r="EQ11" s="1178"/>
      <c r="ER11" s="1178"/>
      <c r="ES11" s="1178"/>
      <c r="ET11" s="1178"/>
      <c r="EU11" s="1179"/>
      <c r="EV11" s="1180">
        <f t="shared" si="8"/>
        <v>0</v>
      </c>
      <c r="EW11" s="1184"/>
      <c r="EX11" s="1193"/>
      <c r="EY11" s="1194">
        <v>8541</v>
      </c>
      <c r="EZ11" s="1194"/>
      <c r="FA11" s="1194"/>
      <c r="FB11" s="1194"/>
      <c r="FC11" s="1195"/>
      <c r="FD11" s="1196">
        <v>8541</v>
      </c>
      <c r="FE11" s="1197">
        <v>210.93</v>
      </c>
      <c r="FF11" s="1198"/>
      <c r="FG11" s="1199">
        <v>8613</v>
      </c>
      <c r="FH11" s="1199"/>
      <c r="FI11" s="1199"/>
      <c r="FJ11" s="1199"/>
      <c r="FK11" s="1200"/>
      <c r="FL11" s="1201">
        <f t="shared" si="9"/>
        <v>8613</v>
      </c>
      <c r="FM11" s="1202">
        <v>49.43</v>
      </c>
      <c r="FN11" s="1203"/>
      <c r="FO11" s="1204">
        <v>1053</v>
      </c>
      <c r="FP11" s="1204">
        <v>93</v>
      </c>
      <c r="FQ11" s="1204">
        <v>14</v>
      </c>
      <c r="FR11" s="1204">
        <v>8</v>
      </c>
      <c r="FS11" s="1205">
        <v>7</v>
      </c>
      <c r="FT11" s="1206">
        <f t="shared" si="10"/>
        <v>1175</v>
      </c>
      <c r="FU11" s="1207">
        <v>27.91</v>
      </c>
      <c r="FV11" s="1185"/>
      <c r="FW11" s="1178">
        <v>120</v>
      </c>
      <c r="FX11" s="1178"/>
      <c r="FY11" s="1178">
        <v>1</v>
      </c>
      <c r="FZ11" s="1178"/>
      <c r="GA11" s="1179"/>
      <c r="GB11" s="1180">
        <f t="shared" si="11"/>
        <v>121</v>
      </c>
      <c r="GC11" s="1184">
        <v>19.739999999999998</v>
      </c>
      <c r="GD11" s="1332"/>
      <c r="GE11" s="1204"/>
      <c r="GF11" s="1204"/>
      <c r="GG11" s="1204"/>
      <c r="GH11" s="1204"/>
      <c r="GI11" s="1205"/>
      <c r="GJ11" s="1206">
        <f t="shared" si="12"/>
        <v>0</v>
      </c>
      <c r="GK11" s="1207"/>
    </row>
    <row r="12" spans="1:193" ht="15" thickBot="1" x14ac:dyDescent="0.35">
      <c r="A12" s="1232" t="s">
        <v>308</v>
      </c>
      <c r="B12" s="1233"/>
      <c r="C12" s="1234">
        <v>3647</v>
      </c>
      <c r="D12" s="1234">
        <v>4</v>
      </c>
      <c r="E12" s="1234"/>
      <c r="F12" s="1234"/>
      <c r="G12" s="1235"/>
      <c r="H12" s="1236">
        <v>3651</v>
      </c>
      <c r="I12" s="1237">
        <v>175.15</v>
      </c>
      <c r="J12" s="1238"/>
      <c r="K12" s="1239">
        <v>102</v>
      </c>
      <c r="L12" s="1239"/>
      <c r="M12" s="1239"/>
      <c r="N12" s="1239"/>
      <c r="O12" s="1240"/>
      <c r="P12" s="1241">
        <v>102</v>
      </c>
      <c r="Q12" s="1242">
        <v>11.6</v>
      </c>
      <c r="R12" s="1243"/>
      <c r="S12" s="1239">
        <v>195</v>
      </c>
      <c r="T12" s="1239">
        <v>19</v>
      </c>
      <c r="U12" s="1239">
        <v>3</v>
      </c>
      <c r="V12" s="1239"/>
      <c r="W12" s="1240"/>
      <c r="X12" s="1241">
        <v>217</v>
      </c>
      <c r="Y12" s="1242">
        <v>201.71109999999999</v>
      </c>
      <c r="Z12" s="1244"/>
      <c r="AA12" s="1239">
        <v>2513</v>
      </c>
      <c r="AB12" s="1239">
        <v>258</v>
      </c>
      <c r="AC12" s="1239">
        <v>27</v>
      </c>
      <c r="AD12" s="1239"/>
      <c r="AE12" s="1240"/>
      <c r="AF12" s="1241">
        <v>2798</v>
      </c>
      <c r="AG12" s="1245">
        <v>72</v>
      </c>
      <c r="AH12" s="1238"/>
      <c r="AI12" s="1239">
        <v>261</v>
      </c>
      <c r="AJ12" s="1239"/>
      <c r="AK12" s="1239"/>
      <c r="AL12" s="1239"/>
      <c r="AM12" s="1240"/>
      <c r="AN12" s="1241">
        <v>261</v>
      </c>
      <c r="AO12" s="1242">
        <v>13.2</v>
      </c>
      <c r="AP12" s="1243"/>
      <c r="AQ12" s="1239">
        <v>256</v>
      </c>
      <c r="AR12" s="1239">
        <v>1</v>
      </c>
      <c r="AS12" s="1239"/>
      <c r="AT12" s="1239"/>
      <c r="AU12" s="1240"/>
      <c r="AV12" s="1241">
        <v>257</v>
      </c>
      <c r="AW12" s="1242">
        <v>21.15</v>
      </c>
      <c r="AX12" s="1243"/>
      <c r="AY12" s="1239">
        <v>347</v>
      </c>
      <c r="AZ12" s="1239">
        <v>85</v>
      </c>
      <c r="BA12" s="1239">
        <v>8</v>
      </c>
      <c r="BB12" s="1239"/>
      <c r="BC12" s="1240"/>
      <c r="BD12" s="1241">
        <v>440</v>
      </c>
      <c r="BE12" s="1242">
        <v>17.8</v>
      </c>
      <c r="BF12" s="1243"/>
      <c r="BG12" s="1246">
        <v>62</v>
      </c>
      <c r="BH12" s="1239">
        <v>6</v>
      </c>
      <c r="BI12" s="1239"/>
      <c r="BJ12" s="1239"/>
      <c r="BK12" s="1240"/>
      <c r="BL12" s="1241">
        <v>68</v>
      </c>
      <c r="BM12" s="1330">
        <v>5.43</v>
      </c>
      <c r="BN12" s="1243"/>
      <c r="BO12" s="1239">
        <v>1990</v>
      </c>
      <c r="BP12" s="1239">
        <v>266</v>
      </c>
      <c r="BQ12" s="1239">
        <v>19</v>
      </c>
      <c r="BR12" s="1239"/>
      <c r="BS12" s="1240"/>
      <c r="BT12" s="1241">
        <v>2275</v>
      </c>
      <c r="BU12" s="1330">
        <v>52.6</v>
      </c>
      <c r="BV12" s="1243"/>
      <c r="BW12" s="1239">
        <v>197</v>
      </c>
      <c r="BX12" s="1239">
        <v>17</v>
      </c>
      <c r="BY12" s="1239">
        <v>3</v>
      </c>
      <c r="BZ12" s="1239">
        <v>3</v>
      </c>
      <c r="CA12" s="1240"/>
      <c r="CB12" s="1241">
        <v>220</v>
      </c>
      <c r="CC12" s="1330">
        <v>60.98</v>
      </c>
      <c r="CD12" s="1243"/>
      <c r="CE12" s="1239">
        <v>2959</v>
      </c>
      <c r="CF12" s="1239">
        <v>248</v>
      </c>
      <c r="CG12" s="1239">
        <v>17</v>
      </c>
      <c r="CH12" s="1239"/>
      <c r="CI12" s="1240"/>
      <c r="CJ12" s="1247">
        <f t="shared" si="0"/>
        <v>3224</v>
      </c>
      <c r="CK12" s="1242">
        <v>140.46</v>
      </c>
      <c r="CL12" s="1243"/>
      <c r="CM12" s="1239">
        <v>2677</v>
      </c>
      <c r="CN12" s="1239">
        <v>64</v>
      </c>
      <c r="CO12" s="1239">
        <v>4</v>
      </c>
      <c r="CP12" s="1239">
        <v>1</v>
      </c>
      <c r="CQ12" s="1240">
        <v>1</v>
      </c>
      <c r="CR12" s="1241">
        <f t="shared" si="1"/>
        <v>2747</v>
      </c>
      <c r="CS12" s="1242">
        <v>231.51</v>
      </c>
      <c r="CT12" s="1246"/>
      <c r="CU12" s="1239">
        <v>280</v>
      </c>
      <c r="CV12" s="1239">
        <v>6</v>
      </c>
      <c r="CW12" s="1239"/>
      <c r="CX12" s="1239"/>
      <c r="CY12" s="1239"/>
      <c r="CZ12" s="1248">
        <f t="shared" si="2"/>
        <v>286</v>
      </c>
      <c r="DA12" s="1245">
        <v>11.89</v>
      </c>
      <c r="DB12" s="1246"/>
      <c r="DC12" s="1239">
        <v>441</v>
      </c>
      <c r="DD12" s="1239">
        <v>61</v>
      </c>
      <c r="DE12" s="1239">
        <v>11</v>
      </c>
      <c r="DF12" s="1239"/>
      <c r="DG12" s="1240"/>
      <c r="DH12" s="1241">
        <f t="shared" si="3"/>
        <v>513</v>
      </c>
      <c r="DI12" s="1245">
        <v>1709.46</v>
      </c>
      <c r="DJ12" s="1246"/>
      <c r="DK12" s="1239">
        <v>638</v>
      </c>
      <c r="DL12" s="1239">
        <v>80</v>
      </c>
      <c r="DM12" s="1239">
        <v>28</v>
      </c>
      <c r="DN12" s="1239">
        <v>1</v>
      </c>
      <c r="DO12" s="1240">
        <v>2</v>
      </c>
      <c r="DP12" s="1241">
        <f t="shared" si="4"/>
        <v>749</v>
      </c>
      <c r="DQ12" s="1245">
        <v>33.33</v>
      </c>
      <c r="DR12" s="1246"/>
      <c r="DS12" s="1239">
        <v>2552</v>
      </c>
      <c r="DT12" s="1239"/>
      <c r="DU12" s="1239"/>
      <c r="DV12" s="1239"/>
      <c r="DW12" s="1240"/>
      <c r="DX12" s="1241">
        <f t="shared" si="5"/>
        <v>2552</v>
      </c>
      <c r="DY12" s="1245">
        <v>112.83</v>
      </c>
      <c r="DZ12" s="1246"/>
      <c r="EA12" s="1239">
        <v>967</v>
      </c>
      <c r="EB12" s="1239"/>
      <c r="EC12" s="1239"/>
      <c r="ED12" s="1239"/>
      <c r="EE12" s="1240"/>
      <c r="EF12" s="1241">
        <f t="shared" si="6"/>
        <v>967</v>
      </c>
      <c r="EG12" s="1245">
        <v>55.12</v>
      </c>
      <c r="EH12" s="1246"/>
      <c r="EI12" s="1239">
        <v>1753</v>
      </c>
      <c r="EJ12" s="1239">
        <v>178</v>
      </c>
      <c r="EK12" s="1239">
        <v>4</v>
      </c>
      <c r="EL12" s="1239">
        <v>1</v>
      </c>
      <c r="EM12" s="1240"/>
      <c r="EN12" s="1241">
        <f t="shared" si="7"/>
        <v>1936</v>
      </c>
      <c r="EO12" s="1245">
        <v>36.33</v>
      </c>
      <c r="EP12" s="1249"/>
      <c r="EQ12" s="1239"/>
      <c r="ER12" s="1239"/>
      <c r="ES12" s="1239"/>
      <c r="ET12" s="1239"/>
      <c r="EU12" s="1240"/>
      <c r="EV12" s="1241">
        <f t="shared" si="8"/>
        <v>0</v>
      </c>
      <c r="EW12" s="1245"/>
      <c r="EX12" s="1250"/>
      <c r="EY12" s="1251"/>
      <c r="EZ12" s="1251">
        <v>55</v>
      </c>
      <c r="FA12" s="1251">
        <v>18</v>
      </c>
      <c r="FB12" s="1251"/>
      <c r="FC12" s="1252"/>
      <c r="FD12" s="1253">
        <v>4629</v>
      </c>
      <c r="FE12" s="1254">
        <v>168.8</v>
      </c>
      <c r="FF12" s="1255"/>
      <c r="FG12" s="1256">
        <v>610</v>
      </c>
      <c r="FH12" s="1256">
        <v>14</v>
      </c>
      <c r="FI12" s="1256">
        <v>2</v>
      </c>
      <c r="FJ12" s="1256">
        <v>1</v>
      </c>
      <c r="FK12" s="1257"/>
      <c r="FL12" s="1258">
        <f t="shared" si="9"/>
        <v>627</v>
      </c>
      <c r="FM12" s="1259">
        <v>17.100000000000001</v>
      </c>
      <c r="FN12" s="1260"/>
      <c r="FO12" s="1261">
        <v>213</v>
      </c>
      <c r="FP12" s="1261">
        <v>74</v>
      </c>
      <c r="FQ12" s="1261">
        <v>2</v>
      </c>
      <c r="FR12" s="1261"/>
      <c r="FS12" s="1262"/>
      <c r="FT12" s="1263">
        <f t="shared" si="10"/>
        <v>289</v>
      </c>
      <c r="FU12" s="1264">
        <v>10.82</v>
      </c>
      <c r="FV12" s="1246"/>
      <c r="FW12" s="1239">
        <v>582</v>
      </c>
      <c r="FX12" s="1239"/>
      <c r="FY12" s="1239"/>
      <c r="FZ12" s="1239"/>
      <c r="GA12" s="1240"/>
      <c r="GB12" s="1241">
        <f t="shared" si="11"/>
        <v>582</v>
      </c>
      <c r="GC12" s="1245">
        <v>33.24</v>
      </c>
      <c r="GD12" s="1333"/>
      <c r="GE12" s="1261">
        <v>658335</v>
      </c>
      <c r="GF12" s="1261">
        <v>22254</v>
      </c>
      <c r="GG12" s="1261">
        <v>7836</v>
      </c>
      <c r="GH12" s="1261">
        <v>31</v>
      </c>
      <c r="GI12" s="1262">
        <v>18</v>
      </c>
      <c r="GJ12" s="1263">
        <f t="shared" si="12"/>
        <v>688474</v>
      </c>
      <c r="GK12" s="1264">
        <v>12284.56</v>
      </c>
    </row>
  </sheetData>
  <mergeCells count="25">
    <mergeCell ref="EX3:FE3"/>
    <mergeCell ref="FF3:FM3"/>
    <mergeCell ref="FN3:FU3"/>
    <mergeCell ref="FV3:GC3"/>
    <mergeCell ref="GD3:GK3"/>
    <mergeCell ref="EP3:EW3"/>
    <mergeCell ref="BF3:BM3"/>
    <mergeCell ref="BN3:BU3"/>
    <mergeCell ref="BV3:CC3"/>
    <mergeCell ref="CD3:CK3"/>
    <mergeCell ref="CL3:CS3"/>
    <mergeCell ref="CT3:DA3"/>
    <mergeCell ref="DB3:DI3"/>
    <mergeCell ref="DJ3:DQ3"/>
    <mergeCell ref="DR3:DY3"/>
    <mergeCell ref="DZ3:EG3"/>
    <mergeCell ref="EH3:EO3"/>
    <mergeCell ref="AH3:AO3"/>
    <mergeCell ref="AP3:AW3"/>
    <mergeCell ref="AX3:BE3"/>
    <mergeCell ref="A3:A4"/>
    <mergeCell ref="B3:I3"/>
    <mergeCell ref="J3:Q3"/>
    <mergeCell ref="R3:Y3"/>
    <mergeCell ref="Z3:A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A19"/>
  <sheetViews>
    <sheetView workbookViewId="0">
      <pane xSplit="1" topLeftCell="AQ1" activePane="topRight" state="frozen"/>
      <selection pane="topRight" sqref="A1:EW1"/>
    </sheetView>
  </sheetViews>
  <sheetFormatPr defaultRowHeight="16.5" x14ac:dyDescent="0.3"/>
  <cols>
    <col min="1" max="1" width="61.140625" style="717" customWidth="1"/>
    <col min="2" max="2" width="9.5703125" style="717" bestFit="1" customWidth="1"/>
    <col min="3" max="3" width="11.85546875" style="717" bestFit="1" customWidth="1"/>
    <col min="4" max="4" width="14.42578125" style="717" bestFit="1" customWidth="1"/>
    <col min="5" max="5" width="19.42578125" style="717" bestFit="1" customWidth="1"/>
    <col min="6" max="6" width="12.85546875" style="717" bestFit="1" customWidth="1"/>
    <col min="7" max="7" width="14.85546875" style="717" bestFit="1" customWidth="1"/>
    <col min="8" max="8" width="9.5703125" style="717" bestFit="1" customWidth="1"/>
    <col min="9" max="9" width="11.85546875" style="717" bestFit="1" customWidth="1"/>
    <col min="10" max="10" width="14.42578125" style="717" bestFit="1" customWidth="1"/>
    <col min="11" max="11" width="19.42578125" style="717" bestFit="1" customWidth="1"/>
    <col min="12" max="12" width="12.85546875" style="717" bestFit="1" customWidth="1"/>
    <col min="13" max="13" width="14.85546875" style="717" bestFit="1" customWidth="1"/>
    <col min="14" max="14" width="9.5703125" style="717" bestFit="1" customWidth="1"/>
    <col min="15" max="15" width="11.85546875" style="717" bestFit="1" customWidth="1"/>
    <col min="16" max="16" width="14.42578125" style="717" bestFit="1" customWidth="1"/>
    <col min="17" max="17" width="19.42578125" style="717" bestFit="1" customWidth="1"/>
    <col min="18" max="18" width="12.85546875" style="717" bestFit="1" customWidth="1"/>
    <col min="19" max="19" width="14.85546875" style="717" bestFit="1" customWidth="1"/>
    <col min="20" max="20" width="9.5703125" style="717" bestFit="1" customWidth="1"/>
    <col min="21" max="21" width="11.85546875" style="717" bestFit="1" customWidth="1"/>
    <col min="22" max="22" width="14.42578125" style="717" bestFit="1" customWidth="1"/>
    <col min="23" max="23" width="19.42578125" style="717" bestFit="1" customWidth="1"/>
    <col min="24" max="24" width="12.85546875" style="717" bestFit="1" customWidth="1"/>
    <col min="25" max="25" width="14.85546875" style="717" bestFit="1" customWidth="1"/>
    <col min="26" max="26" width="9.5703125" style="717" bestFit="1" customWidth="1"/>
    <col min="27" max="27" width="11.85546875" style="717" bestFit="1" customWidth="1"/>
    <col min="28" max="28" width="14.42578125" style="717" bestFit="1" customWidth="1"/>
    <col min="29" max="29" width="19.42578125" style="717" bestFit="1" customWidth="1"/>
    <col min="30" max="30" width="12.85546875" style="717" bestFit="1" customWidth="1"/>
    <col min="31" max="31" width="14.85546875" style="717" bestFit="1" customWidth="1"/>
    <col min="32" max="32" width="9.5703125" style="717" bestFit="1" customWidth="1"/>
    <col min="33" max="33" width="11.85546875" style="717" bestFit="1" customWidth="1"/>
    <col min="34" max="34" width="14.42578125" style="717" bestFit="1" customWidth="1"/>
    <col min="35" max="35" width="19.42578125" style="717" bestFit="1" customWidth="1"/>
    <col min="36" max="36" width="12.85546875" style="717" bestFit="1" customWidth="1"/>
    <col min="37" max="37" width="14.85546875" style="717" bestFit="1" customWidth="1"/>
    <col min="38" max="38" width="9.5703125" style="717" bestFit="1" customWidth="1"/>
    <col min="39" max="39" width="11.85546875" style="717" bestFit="1" customWidth="1"/>
    <col min="40" max="40" width="14.42578125" style="717" bestFit="1" customWidth="1"/>
    <col min="41" max="41" width="19.42578125" style="717" bestFit="1" customWidth="1"/>
    <col min="42" max="42" width="12.85546875" style="717" bestFit="1" customWidth="1"/>
    <col min="43" max="43" width="14.85546875" style="717" bestFit="1" customWidth="1"/>
    <col min="44" max="44" width="9.5703125" style="717" bestFit="1" customWidth="1"/>
    <col min="45" max="45" width="11.85546875" style="717" bestFit="1" customWidth="1"/>
    <col min="46" max="46" width="14.42578125" style="717" bestFit="1" customWidth="1"/>
    <col min="47" max="47" width="19.42578125" style="717" bestFit="1" customWidth="1"/>
    <col min="48" max="48" width="12.85546875" style="717" bestFit="1" customWidth="1"/>
    <col min="49" max="49" width="14.85546875" style="717" bestFit="1" customWidth="1"/>
    <col min="50" max="50" width="9.5703125" style="717" bestFit="1" customWidth="1"/>
    <col min="51" max="51" width="11.85546875" style="717" bestFit="1" customWidth="1"/>
    <col min="52" max="52" width="14.42578125" style="717" bestFit="1" customWidth="1"/>
    <col min="53" max="53" width="19.42578125" style="717" bestFit="1" customWidth="1"/>
    <col min="54" max="54" width="12.85546875" style="717" bestFit="1" customWidth="1"/>
    <col min="55" max="55" width="14.85546875" style="717" bestFit="1" customWidth="1"/>
    <col min="56" max="56" width="9.5703125" style="717" bestFit="1" customWidth="1"/>
    <col min="57" max="57" width="11.85546875" style="717" bestFit="1" customWidth="1"/>
    <col min="58" max="58" width="14.42578125" style="717" bestFit="1" customWidth="1"/>
    <col min="59" max="59" width="19.42578125" style="717" bestFit="1" customWidth="1"/>
    <col min="60" max="60" width="12.85546875" style="717" bestFit="1" customWidth="1"/>
    <col min="61" max="61" width="14.85546875" style="717" bestFit="1" customWidth="1"/>
    <col min="62" max="62" width="9.5703125" style="717" bestFit="1" customWidth="1"/>
    <col min="63" max="63" width="11.85546875" style="717" bestFit="1" customWidth="1"/>
    <col min="64" max="64" width="14.42578125" style="717" bestFit="1" customWidth="1"/>
    <col min="65" max="65" width="19.42578125" style="717" bestFit="1" customWidth="1"/>
    <col min="66" max="66" width="12.85546875" style="717" bestFit="1" customWidth="1"/>
    <col min="67" max="67" width="14.85546875" style="717" bestFit="1" customWidth="1"/>
    <col min="68" max="68" width="9.5703125" style="717" bestFit="1" customWidth="1"/>
    <col min="69" max="69" width="11.85546875" style="717" bestFit="1" customWidth="1"/>
    <col min="70" max="70" width="14.42578125" style="717" bestFit="1" customWidth="1"/>
    <col min="71" max="71" width="19.42578125" style="717" bestFit="1" customWidth="1"/>
    <col min="72" max="72" width="12.85546875" style="717" bestFit="1" customWidth="1"/>
    <col min="73" max="73" width="14.85546875" style="717" bestFit="1" customWidth="1"/>
    <col min="74" max="74" width="9.5703125" style="717" bestFit="1" customWidth="1"/>
    <col min="75" max="75" width="11.85546875" style="717" bestFit="1" customWidth="1"/>
    <col min="76" max="76" width="14.42578125" style="717" bestFit="1" customWidth="1"/>
    <col min="77" max="77" width="19.42578125" style="717" bestFit="1" customWidth="1"/>
    <col min="78" max="78" width="12.85546875" style="717" bestFit="1" customWidth="1"/>
    <col min="79" max="79" width="14.85546875" style="717" bestFit="1" customWidth="1"/>
    <col min="80" max="80" width="9.5703125" style="717" bestFit="1" customWidth="1"/>
    <col min="81" max="81" width="11.85546875" style="717" bestFit="1" customWidth="1"/>
    <col min="82" max="82" width="14.42578125" style="717" bestFit="1" customWidth="1"/>
    <col min="83" max="83" width="19.42578125" style="717" bestFit="1" customWidth="1"/>
    <col min="84" max="84" width="12.85546875" style="717" bestFit="1" customWidth="1"/>
    <col min="85" max="85" width="14.85546875" style="717" bestFit="1" customWidth="1"/>
    <col min="86" max="86" width="9.5703125" style="717" bestFit="1" customWidth="1"/>
    <col min="87" max="87" width="11.85546875" style="717" bestFit="1" customWidth="1"/>
    <col min="88" max="88" width="14.42578125" style="717" bestFit="1" customWidth="1"/>
    <col min="89" max="89" width="19.42578125" style="717" bestFit="1" customWidth="1"/>
    <col min="90" max="90" width="12.85546875" style="717" bestFit="1" customWidth="1"/>
    <col min="91" max="91" width="14.85546875" style="717" bestFit="1" customWidth="1"/>
    <col min="92" max="92" width="9.5703125" style="717" bestFit="1" customWidth="1"/>
    <col min="93" max="93" width="11.85546875" style="717" bestFit="1" customWidth="1"/>
    <col min="94" max="94" width="14.42578125" style="717" bestFit="1" customWidth="1"/>
    <col min="95" max="95" width="19.42578125" style="717" bestFit="1" customWidth="1"/>
    <col min="96" max="96" width="12.85546875" style="717" bestFit="1" customWidth="1"/>
    <col min="97" max="97" width="14.85546875" style="717" bestFit="1" customWidth="1"/>
    <col min="98" max="98" width="9.5703125" style="717" bestFit="1" customWidth="1"/>
    <col min="99" max="99" width="11.85546875" style="717" bestFit="1" customWidth="1"/>
    <col min="100" max="100" width="14.42578125" style="717" bestFit="1" customWidth="1"/>
    <col min="101" max="101" width="19.42578125" style="717" bestFit="1" customWidth="1"/>
    <col min="102" max="102" width="12.85546875" style="717" bestFit="1" customWidth="1"/>
    <col min="103" max="103" width="14.85546875" style="717" bestFit="1" customWidth="1"/>
    <col min="104" max="104" width="9.5703125" style="717" bestFit="1" customWidth="1"/>
    <col min="105" max="105" width="11.85546875" style="717" bestFit="1" customWidth="1"/>
    <col min="106" max="106" width="14.42578125" style="717" bestFit="1" customWidth="1"/>
    <col min="107" max="107" width="19.42578125" style="717" bestFit="1" customWidth="1"/>
    <col min="108" max="108" width="12.85546875" style="717" bestFit="1" customWidth="1"/>
    <col min="109" max="109" width="14.85546875" style="717" bestFit="1" customWidth="1"/>
    <col min="110" max="110" width="9.5703125" style="717" bestFit="1" customWidth="1"/>
    <col min="111" max="111" width="11.85546875" style="717" bestFit="1" customWidth="1"/>
    <col min="112" max="112" width="14.42578125" style="717" bestFit="1" customWidth="1"/>
    <col min="113" max="113" width="19.42578125" style="717" bestFit="1" customWidth="1"/>
    <col min="114" max="114" width="12.85546875" style="717" bestFit="1" customWidth="1"/>
    <col min="115" max="115" width="14.85546875" style="717" bestFit="1" customWidth="1"/>
    <col min="116" max="116" width="9.5703125" style="717" bestFit="1" customWidth="1"/>
    <col min="117" max="117" width="11.85546875" style="717" bestFit="1" customWidth="1"/>
    <col min="118" max="118" width="14.42578125" style="717" bestFit="1" customWidth="1"/>
    <col min="119" max="119" width="19.42578125" style="717" bestFit="1" customWidth="1"/>
    <col min="120" max="120" width="12.85546875" style="717" bestFit="1" customWidth="1"/>
    <col min="121" max="121" width="14.85546875" style="717" bestFit="1" customWidth="1"/>
    <col min="122" max="122" width="9.5703125" style="717" bestFit="1" customWidth="1"/>
    <col min="123" max="123" width="11.85546875" style="717" bestFit="1" customWidth="1"/>
    <col min="124" max="124" width="14.42578125" style="717" bestFit="1" customWidth="1"/>
    <col min="125" max="125" width="19.42578125" style="717" bestFit="1" customWidth="1"/>
    <col min="126" max="126" width="12.85546875" style="717" bestFit="1" customWidth="1"/>
    <col min="127" max="127" width="14.85546875" style="717" bestFit="1" customWidth="1"/>
    <col min="128" max="128" width="9.5703125" style="717" bestFit="1" customWidth="1"/>
    <col min="129" max="129" width="11.85546875" style="717" bestFit="1" customWidth="1"/>
    <col min="130" max="130" width="14.42578125" style="717" bestFit="1" customWidth="1"/>
    <col min="131" max="131" width="19.42578125" style="717" bestFit="1" customWidth="1"/>
    <col min="132" max="132" width="12.85546875" style="717" bestFit="1" customWidth="1"/>
    <col min="133" max="133" width="14.85546875" style="717" bestFit="1" customWidth="1"/>
    <col min="134" max="134" width="9.5703125" style="717" bestFit="1" customWidth="1"/>
    <col min="135" max="135" width="11.85546875" style="717" bestFit="1" customWidth="1"/>
    <col min="136" max="136" width="14.42578125" style="717" bestFit="1" customWidth="1"/>
    <col min="137" max="137" width="19.42578125" style="717" bestFit="1" customWidth="1"/>
    <col min="138" max="138" width="12.85546875" style="717" bestFit="1" customWidth="1"/>
    <col min="139" max="139" width="14.85546875" style="717" bestFit="1" customWidth="1"/>
    <col min="140" max="140" width="9.5703125" style="717" bestFit="1" customWidth="1"/>
    <col min="141" max="141" width="11.85546875" style="717" bestFit="1" customWidth="1"/>
    <col min="142" max="142" width="14.42578125" style="717" bestFit="1" customWidth="1"/>
    <col min="143" max="143" width="19.42578125" style="717" bestFit="1" customWidth="1"/>
    <col min="144" max="144" width="12.85546875" style="717" bestFit="1" customWidth="1"/>
    <col min="145" max="145" width="14.85546875" style="717" bestFit="1" customWidth="1"/>
    <col min="146" max="146" width="9.5703125" style="717" bestFit="1" customWidth="1"/>
    <col min="147" max="147" width="11.85546875" style="717" bestFit="1" customWidth="1"/>
    <col min="148" max="148" width="14.42578125" style="717" bestFit="1" customWidth="1"/>
    <col min="149" max="149" width="19.42578125" style="717" bestFit="1" customWidth="1"/>
    <col min="150" max="150" width="12.85546875" style="717" bestFit="1" customWidth="1"/>
    <col min="151" max="151" width="14.85546875" style="717" bestFit="1" customWidth="1"/>
    <col min="152" max="152" width="9.5703125" style="717" bestFit="1" customWidth="1"/>
    <col min="153" max="153" width="11.85546875" style="717" bestFit="1" customWidth="1"/>
    <col min="154" max="154" width="14.42578125" style="717" bestFit="1" customWidth="1"/>
    <col min="155" max="155" width="19.42578125" style="717" bestFit="1" customWidth="1"/>
    <col min="156" max="156" width="12.85546875" style="717" bestFit="1" customWidth="1"/>
    <col min="157" max="157" width="14.85546875" style="717" bestFit="1" customWidth="1"/>
    <col min="158" max="16384" width="9.140625" style="717"/>
  </cols>
  <sheetData>
    <row r="1" spans="1:157" ht="17.25" x14ac:dyDescent="0.35">
      <c r="A1" s="1530" t="s">
        <v>248</v>
      </c>
      <c r="B1" s="1530"/>
      <c r="C1" s="1530"/>
      <c r="D1" s="1530"/>
      <c r="E1" s="1530"/>
      <c r="F1" s="1530"/>
      <c r="G1" s="1530"/>
      <c r="H1" s="1530"/>
      <c r="I1" s="1530"/>
      <c r="J1" s="1530"/>
      <c r="K1" s="1530"/>
      <c r="L1" s="1530"/>
      <c r="M1" s="1530"/>
      <c r="N1" s="1530"/>
      <c r="O1" s="1530"/>
      <c r="P1" s="1530"/>
      <c r="Q1" s="1530"/>
      <c r="R1" s="1530"/>
      <c r="S1" s="1530"/>
      <c r="T1" s="1530"/>
      <c r="U1" s="1530"/>
      <c r="V1" s="1530"/>
      <c r="W1" s="1530"/>
      <c r="X1" s="1530"/>
      <c r="Y1" s="1530"/>
      <c r="Z1" s="1530"/>
      <c r="AA1" s="1530"/>
      <c r="AB1" s="1530"/>
      <c r="AC1" s="1530"/>
      <c r="AD1" s="1530"/>
      <c r="AE1" s="1530"/>
      <c r="AF1" s="1530"/>
      <c r="AG1" s="1530"/>
      <c r="AH1" s="1530"/>
      <c r="AI1" s="1530"/>
      <c r="AJ1" s="1530"/>
      <c r="AK1" s="1530"/>
      <c r="AL1" s="1530"/>
      <c r="AM1" s="1530"/>
      <c r="AN1" s="1530"/>
      <c r="AO1" s="1530"/>
      <c r="AP1" s="1530"/>
      <c r="AQ1" s="1530"/>
      <c r="AR1" s="1530"/>
      <c r="AS1" s="1530"/>
      <c r="AT1" s="1530"/>
      <c r="AU1" s="1530"/>
      <c r="AV1" s="1530"/>
      <c r="AW1" s="1530"/>
      <c r="AX1" s="1530"/>
      <c r="AY1" s="1530"/>
      <c r="AZ1" s="1530"/>
      <c r="BA1" s="1530"/>
      <c r="BB1" s="1530"/>
      <c r="BC1" s="1530"/>
      <c r="BD1" s="1530"/>
      <c r="BE1" s="1530"/>
      <c r="BF1" s="1530"/>
      <c r="BG1" s="1530"/>
      <c r="BH1" s="1530"/>
      <c r="BI1" s="1530"/>
      <c r="BJ1" s="1530"/>
      <c r="BK1" s="1530"/>
      <c r="BL1" s="1530"/>
      <c r="BM1" s="1530"/>
      <c r="BN1" s="1530"/>
      <c r="BO1" s="1530"/>
      <c r="BP1" s="1530"/>
      <c r="BQ1" s="1530"/>
      <c r="BR1" s="1530"/>
      <c r="BS1" s="1530"/>
      <c r="BT1" s="1530"/>
      <c r="BU1" s="1530"/>
      <c r="BV1" s="1530"/>
      <c r="BW1" s="1530"/>
      <c r="BX1" s="1530"/>
      <c r="BY1" s="1530"/>
      <c r="BZ1" s="1530"/>
      <c r="CA1" s="1530"/>
      <c r="CB1" s="1530"/>
      <c r="CC1" s="1530"/>
      <c r="CD1" s="1530"/>
      <c r="CE1" s="1530"/>
      <c r="CF1" s="1530"/>
      <c r="CG1" s="1530"/>
      <c r="CH1" s="1530"/>
      <c r="CI1" s="1530"/>
      <c r="CJ1" s="1530"/>
      <c r="CK1" s="1530"/>
      <c r="CL1" s="1530"/>
      <c r="CM1" s="1530"/>
      <c r="CN1" s="1530"/>
      <c r="CO1" s="1530"/>
      <c r="CP1" s="1530"/>
      <c r="CQ1" s="1530"/>
      <c r="CR1" s="1530"/>
      <c r="CS1" s="1530"/>
      <c r="CT1" s="1530"/>
      <c r="CU1" s="1530"/>
      <c r="CV1" s="1530"/>
      <c r="CW1" s="1530"/>
      <c r="CX1" s="1530"/>
      <c r="CY1" s="1530"/>
      <c r="CZ1" s="1530"/>
      <c r="DA1" s="1530"/>
      <c r="DB1" s="1530"/>
      <c r="DC1" s="1530"/>
      <c r="DD1" s="1530"/>
      <c r="DE1" s="1530"/>
      <c r="DF1" s="1530"/>
      <c r="DG1" s="1530"/>
      <c r="DH1" s="1530"/>
      <c r="DI1" s="1530"/>
      <c r="DJ1" s="1530"/>
      <c r="DK1" s="1530"/>
      <c r="DL1" s="1530"/>
      <c r="DM1" s="1530"/>
      <c r="DN1" s="1530"/>
      <c r="DO1" s="1530"/>
      <c r="DP1" s="1530"/>
      <c r="DQ1" s="1530"/>
      <c r="DR1" s="1530"/>
      <c r="DS1" s="1530"/>
      <c r="DT1" s="1530"/>
      <c r="DU1" s="1530"/>
      <c r="DV1" s="1530"/>
      <c r="DW1" s="1530"/>
      <c r="DX1" s="1530"/>
      <c r="DY1" s="1530"/>
      <c r="DZ1" s="1530"/>
      <c r="EA1" s="1530"/>
      <c r="EB1" s="1530"/>
      <c r="EC1" s="1530"/>
      <c r="ED1" s="1530"/>
      <c r="EE1" s="1530"/>
      <c r="EF1" s="1530"/>
      <c r="EG1" s="1530"/>
      <c r="EH1" s="1530"/>
      <c r="EI1" s="1530"/>
      <c r="EJ1" s="1530"/>
      <c r="EK1" s="1530"/>
      <c r="EL1" s="1530"/>
      <c r="EM1" s="1530"/>
      <c r="EN1" s="1530"/>
      <c r="EO1" s="1530"/>
      <c r="EP1" s="1530"/>
      <c r="EQ1" s="1530"/>
      <c r="ER1" s="1530"/>
      <c r="ES1" s="1530"/>
      <c r="ET1" s="1530"/>
      <c r="EU1" s="1530"/>
      <c r="EV1" s="1530"/>
      <c r="EW1" s="1530"/>
    </row>
    <row r="2" spans="1:157" ht="10.5" customHeight="1" thickBot="1" x14ac:dyDescent="0.35">
      <c r="A2" s="1531"/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531"/>
      <c r="R2" s="1531"/>
      <c r="S2" s="1531"/>
      <c r="T2" s="1531"/>
      <c r="U2" s="1531"/>
      <c r="V2" s="1531"/>
      <c r="W2" s="1531"/>
      <c r="X2" s="1531"/>
      <c r="Y2" s="1531"/>
      <c r="Z2" s="1531"/>
      <c r="AA2" s="1531"/>
      <c r="AB2" s="1531"/>
      <c r="AC2" s="1531"/>
      <c r="AD2" s="1531"/>
      <c r="AE2" s="1531"/>
      <c r="AF2" s="1531"/>
      <c r="AG2" s="1531"/>
      <c r="AH2" s="1531"/>
      <c r="AI2" s="1531"/>
      <c r="AJ2" s="1531"/>
      <c r="AK2" s="1531"/>
      <c r="AL2" s="1531"/>
      <c r="AM2" s="1531"/>
      <c r="AN2" s="1531"/>
      <c r="AO2" s="1531"/>
      <c r="AP2" s="1531"/>
      <c r="AQ2" s="1531"/>
      <c r="AR2" s="1531"/>
      <c r="AS2" s="1531"/>
      <c r="AT2" s="1531"/>
      <c r="AU2" s="1531"/>
      <c r="AV2" s="1531"/>
      <c r="AW2" s="1531"/>
      <c r="AX2" s="1531"/>
      <c r="AY2" s="1531"/>
      <c r="AZ2" s="1531"/>
      <c r="BA2" s="1531"/>
      <c r="BB2" s="1531"/>
      <c r="BC2" s="1531"/>
      <c r="BD2" s="1531"/>
      <c r="BE2" s="1531"/>
      <c r="BF2" s="1531"/>
      <c r="BG2" s="1531"/>
      <c r="BH2" s="1531"/>
      <c r="BI2" s="1531"/>
      <c r="BJ2" s="1531"/>
      <c r="BK2" s="1531"/>
      <c r="BL2" s="1531"/>
      <c r="BM2" s="1531"/>
      <c r="BN2" s="1531"/>
      <c r="BO2" s="1531"/>
      <c r="BP2" s="1531"/>
      <c r="BQ2" s="1531"/>
      <c r="BR2" s="1531"/>
      <c r="BS2" s="1531"/>
      <c r="BT2" s="1531"/>
      <c r="BU2" s="1531"/>
      <c r="BV2" s="1531"/>
      <c r="BW2" s="1531"/>
      <c r="BX2" s="1531"/>
      <c r="BY2" s="1531"/>
      <c r="BZ2" s="1531"/>
      <c r="CA2" s="1531"/>
      <c r="CB2" s="1531"/>
      <c r="CC2" s="1531"/>
      <c r="CD2" s="1531"/>
      <c r="CE2" s="1531"/>
      <c r="CF2" s="1531"/>
      <c r="CG2" s="1531"/>
      <c r="CH2" s="1531"/>
      <c r="CI2" s="1531"/>
      <c r="CJ2" s="1531"/>
      <c r="CK2" s="1531"/>
      <c r="CL2" s="1531"/>
      <c r="CM2" s="1531"/>
      <c r="CN2" s="1531"/>
      <c r="CO2" s="1531"/>
      <c r="CP2" s="1531"/>
      <c r="CQ2" s="1531"/>
      <c r="CR2" s="1531"/>
      <c r="CS2" s="1531"/>
      <c r="CT2" s="1531"/>
      <c r="CU2" s="1531"/>
      <c r="CV2" s="1531"/>
      <c r="CW2" s="1531"/>
      <c r="CX2" s="1531"/>
      <c r="CY2" s="1531"/>
      <c r="CZ2" s="1531"/>
      <c r="DA2" s="1531"/>
      <c r="DB2" s="1531"/>
      <c r="DC2" s="1531"/>
      <c r="DD2" s="1531"/>
      <c r="DE2" s="1531"/>
      <c r="DF2" s="1531"/>
      <c r="DG2" s="1531"/>
      <c r="DH2" s="1531"/>
      <c r="DI2" s="1531"/>
      <c r="DJ2" s="1531"/>
      <c r="DK2" s="1531"/>
      <c r="DL2" s="1531"/>
      <c r="DM2" s="1531"/>
      <c r="DN2" s="1531"/>
      <c r="DO2" s="1531"/>
      <c r="DP2" s="1531"/>
      <c r="DQ2" s="1531"/>
      <c r="DR2" s="1531"/>
      <c r="DS2" s="1531"/>
      <c r="DT2" s="1531"/>
      <c r="DU2" s="1531"/>
      <c r="DV2" s="1531"/>
      <c r="DW2" s="1531"/>
      <c r="DX2" s="1531"/>
      <c r="DY2" s="1531"/>
      <c r="DZ2" s="1531"/>
      <c r="EA2" s="1531"/>
      <c r="EB2" s="1531"/>
      <c r="EC2" s="1531"/>
      <c r="ED2" s="1531"/>
      <c r="EE2" s="1531"/>
      <c r="EF2" s="1531"/>
      <c r="EG2" s="1531"/>
      <c r="EH2" s="1531"/>
      <c r="EI2" s="1531"/>
      <c r="EJ2" s="1531"/>
      <c r="EK2" s="1531"/>
      <c r="EL2" s="1531"/>
      <c r="EM2" s="1531"/>
      <c r="EN2" s="1531"/>
      <c r="EO2" s="1531"/>
      <c r="EP2" s="1531"/>
      <c r="EQ2" s="1531"/>
      <c r="ER2" s="1531"/>
      <c r="ES2" s="1531"/>
      <c r="ET2" s="1531"/>
      <c r="EU2" s="1531"/>
      <c r="EV2" s="1531"/>
      <c r="EW2" s="1531"/>
    </row>
    <row r="3" spans="1:157" ht="17.25" thickBot="1" x14ac:dyDescent="0.35">
      <c r="A3" s="1532" t="s">
        <v>134</v>
      </c>
      <c r="B3" s="1534" t="s">
        <v>258</v>
      </c>
      <c r="C3" s="1535"/>
      <c r="D3" s="1535"/>
      <c r="E3" s="1535"/>
      <c r="F3" s="1535"/>
      <c r="G3" s="1536"/>
      <c r="H3" s="1521" t="s">
        <v>259</v>
      </c>
      <c r="I3" s="1522"/>
      <c r="J3" s="1522"/>
      <c r="K3" s="1522"/>
      <c r="L3" s="1522"/>
      <c r="M3" s="1523"/>
      <c r="N3" s="1521" t="s">
        <v>260</v>
      </c>
      <c r="O3" s="1522"/>
      <c r="P3" s="1522"/>
      <c r="Q3" s="1522"/>
      <c r="R3" s="1522"/>
      <c r="S3" s="1523"/>
      <c r="T3" s="1522" t="s">
        <v>261</v>
      </c>
      <c r="U3" s="1522"/>
      <c r="V3" s="1522"/>
      <c r="W3" s="1522"/>
      <c r="X3" s="1522"/>
      <c r="Y3" s="1523"/>
      <c r="Z3" s="1522" t="s">
        <v>262</v>
      </c>
      <c r="AA3" s="1522"/>
      <c r="AB3" s="1522"/>
      <c r="AC3" s="1522"/>
      <c r="AD3" s="1522"/>
      <c r="AE3" s="1523"/>
      <c r="AF3" s="1522" t="s">
        <v>263</v>
      </c>
      <c r="AG3" s="1522"/>
      <c r="AH3" s="1522"/>
      <c r="AI3" s="1522"/>
      <c r="AJ3" s="1522"/>
      <c r="AK3" s="1523"/>
      <c r="AL3" s="1522" t="s">
        <v>264</v>
      </c>
      <c r="AM3" s="1522"/>
      <c r="AN3" s="1522"/>
      <c r="AO3" s="1522"/>
      <c r="AP3" s="1522"/>
      <c r="AQ3" s="1523"/>
      <c r="AR3" s="1522" t="s">
        <v>265</v>
      </c>
      <c r="AS3" s="1522"/>
      <c r="AT3" s="1522"/>
      <c r="AU3" s="1522"/>
      <c r="AV3" s="1522"/>
      <c r="AW3" s="1523"/>
      <c r="AX3" s="1522" t="s">
        <v>266</v>
      </c>
      <c r="AY3" s="1522"/>
      <c r="AZ3" s="1522"/>
      <c r="BA3" s="1522"/>
      <c r="BB3" s="1522"/>
      <c r="BC3" s="1523"/>
      <c r="BD3" s="1522" t="s">
        <v>267</v>
      </c>
      <c r="BE3" s="1522"/>
      <c r="BF3" s="1522"/>
      <c r="BG3" s="1522"/>
      <c r="BH3" s="1522"/>
      <c r="BI3" s="1523"/>
      <c r="BJ3" s="1522" t="s">
        <v>268</v>
      </c>
      <c r="BK3" s="1522"/>
      <c r="BL3" s="1522"/>
      <c r="BM3" s="1522"/>
      <c r="BN3" s="1522"/>
      <c r="BO3" s="1523"/>
      <c r="BP3" s="1522" t="s">
        <v>269</v>
      </c>
      <c r="BQ3" s="1522"/>
      <c r="BR3" s="1522"/>
      <c r="BS3" s="1522"/>
      <c r="BT3" s="1522"/>
      <c r="BU3" s="1523"/>
      <c r="BV3" s="1521" t="s">
        <v>270</v>
      </c>
      <c r="BW3" s="1522"/>
      <c r="BX3" s="1522"/>
      <c r="BY3" s="1522"/>
      <c r="BZ3" s="1522"/>
      <c r="CA3" s="1523"/>
      <c r="CB3" s="1521" t="s">
        <v>271</v>
      </c>
      <c r="CC3" s="1522"/>
      <c r="CD3" s="1522"/>
      <c r="CE3" s="1522"/>
      <c r="CF3" s="1522"/>
      <c r="CG3" s="1523"/>
      <c r="CH3" s="1527" t="s">
        <v>272</v>
      </c>
      <c r="CI3" s="1528"/>
      <c r="CJ3" s="1528"/>
      <c r="CK3" s="1528"/>
      <c r="CL3" s="1528"/>
      <c r="CM3" s="1529"/>
      <c r="CN3" s="1521" t="s">
        <v>273</v>
      </c>
      <c r="CO3" s="1522"/>
      <c r="CP3" s="1522"/>
      <c r="CQ3" s="1522"/>
      <c r="CR3" s="1522"/>
      <c r="CS3" s="1523"/>
      <c r="CT3" s="1521" t="s">
        <v>274</v>
      </c>
      <c r="CU3" s="1522"/>
      <c r="CV3" s="1522"/>
      <c r="CW3" s="1522"/>
      <c r="CX3" s="1522"/>
      <c r="CY3" s="1523"/>
      <c r="CZ3" s="1521" t="s">
        <v>275</v>
      </c>
      <c r="DA3" s="1522"/>
      <c r="DB3" s="1522"/>
      <c r="DC3" s="1522"/>
      <c r="DD3" s="1522"/>
      <c r="DE3" s="1523"/>
      <c r="DF3" s="1527" t="s">
        <v>276</v>
      </c>
      <c r="DG3" s="1528"/>
      <c r="DH3" s="1528"/>
      <c r="DI3" s="1528"/>
      <c r="DJ3" s="1528"/>
      <c r="DK3" s="1529"/>
      <c r="DL3" s="1521" t="s">
        <v>277</v>
      </c>
      <c r="DM3" s="1522"/>
      <c r="DN3" s="1522"/>
      <c r="DO3" s="1522"/>
      <c r="DP3" s="1522"/>
      <c r="DQ3" s="1523"/>
      <c r="DR3" s="1521" t="s">
        <v>278</v>
      </c>
      <c r="DS3" s="1522"/>
      <c r="DT3" s="1522"/>
      <c r="DU3" s="1522"/>
      <c r="DV3" s="1522"/>
      <c r="DW3" s="1523"/>
      <c r="DX3" s="1521" t="s">
        <v>279</v>
      </c>
      <c r="DY3" s="1522"/>
      <c r="DZ3" s="1522"/>
      <c r="EA3" s="1522"/>
      <c r="EB3" s="1522"/>
      <c r="EC3" s="1522"/>
      <c r="ED3" s="1521" t="s">
        <v>280</v>
      </c>
      <c r="EE3" s="1522"/>
      <c r="EF3" s="1522"/>
      <c r="EG3" s="1522"/>
      <c r="EH3" s="1522"/>
      <c r="EI3" s="1522"/>
      <c r="EJ3" s="1521" t="s">
        <v>2</v>
      </c>
      <c r="EK3" s="1522"/>
      <c r="EL3" s="1522"/>
      <c r="EM3" s="1522"/>
      <c r="EN3" s="1522"/>
      <c r="EO3" s="1522"/>
      <c r="EP3" s="1527" t="s">
        <v>282</v>
      </c>
      <c r="EQ3" s="1528"/>
      <c r="ER3" s="1528"/>
      <c r="ES3" s="1528"/>
      <c r="ET3" s="1528"/>
      <c r="EU3" s="1528"/>
      <c r="EV3" s="1524" t="s">
        <v>3</v>
      </c>
      <c r="EW3" s="1525"/>
      <c r="EX3" s="1525"/>
      <c r="EY3" s="1525"/>
      <c r="EZ3" s="1525"/>
      <c r="FA3" s="1526"/>
    </row>
    <row r="4" spans="1:157" ht="17.25" thickBot="1" x14ac:dyDescent="0.35">
      <c r="A4" s="1533"/>
      <c r="B4" s="718" t="s">
        <v>135</v>
      </c>
      <c r="C4" s="719" t="s">
        <v>136</v>
      </c>
      <c r="D4" s="719" t="s">
        <v>137</v>
      </c>
      <c r="E4" s="719" t="s">
        <v>138</v>
      </c>
      <c r="F4" s="719" t="s">
        <v>139</v>
      </c>
      <c r="G4" s="720" t="s">
        <v>140</v>
      </c>
      <c r="H4" s="718" t="s">
        <v>135</v>
      </c>
      <c r="I4" s="719" t="s">
        <v>136</v>
      </c>
      <c r="J4" s="719" t="s">
        <v>137</v>
      </c>
      <c r="K4" s="719" t="s">
        <v>138</v>
      </c>
      <c r="L4" s="719" t="s">
        <v>139</v>
      </c>
      <c r="M4" s="720" t="s">
        <v>140</v>
      </c>
      <c r="N4" s="718" t="s">
        <v>135</v>
      </c>
      <c r="O4" s="719" t="s">
        <v>136</v>
      </c>
      <c r="P4" s="719" t="s">
        <v>137</v>
      </c>
      <c r="Q4" s="719" t="s">
        <v>138</v>
      </c>
      <c r="R4" s="719" t="s">
        <v>139</v>
      </c>
      <c r="S4" s="720" t="s">
        <v>140</v>
      </c>
      <c r="T4" s="718" t="s">
        <v>135</v>
      </c>
      <c r="U4" s="719" t="s">
        <v>136</v>
      </c>
      <c r="V4" s="719" t="s">
        <v>137</v>
      </c>
      <c r="W4" s="719" t="s">
        <v>138</v>
      </c>
      <c r="X4" s="719" t="s">
        <v>139</v>
      </c>
      <c r="Y4" s="720" t="s">
        <v>140</v>
      </c>
      <c r="Z4" s="718" t="s">
        <v>135</v>
      </c>
      <c r="AA4" s="719" t="s">
        <v>136</v>
      </c>
      <c r="AB4" s="719" t="s">
        <v>137</v>
      </c>
      <c r="AC4" s="719" t="s">
        <v>138</v>
      </c>
      <c r="AD4" s="719" t="s">
        <v>139</v>
      </c>
      <c r="AE4" s="720" t="s">
        <v>140</v>
      </c>
      <c r="AF4" s="718" t="s">
        <v>135</v>
      </c>
      <c r="AG4" s="719" t="s">
        <v>136</v>
      </c>
      <c r="AH4" s="719" t="s">
        <v>137</v>
      </c>
      <c r="AI4" s="719" t="s">
        <v>138</v>
      </c>
      <c r="AJ4" s="719" t="s">
        <v>139</v>
      </c>
      <c r="AK4" s="720" t="s">
        <v>140</v>
      </c>
      <c r="AL4" s="718" t="s">
        <v>135</v>
      </c>
      <c r="AM4" s="719" t="s">
        <v>136</v>
      </c>
      <c r="AN4" s="719" t="s">
        <v>137</v>
      </c>
      <c r="AO4" s="719" t="s">
        <v>138</v>
      </c>
      <c r="AP4" s="719" t="s">
        <v>139</v>
      </c>
      <c r="AQ4" s="720" t="s">
        <v>140</v>
      </c>
      <c r="AR4" s="718" t="s">
        <v>135</v>
      </c>
      <c r="AS4" s="719" t="s">
        <v>136</v>
      </c>
      <c r="AT4" s="719" t="s">
        <v>137</v>
      </c>
      <c r="AU4" s="719" t="s">
        <v>138</v>
      </c>
      <c r="AV4" s="719" t="s">
        <v>139</v>
      </c>
      <c r="AW4" s="720" t="s">
        <v>140</v>
      </c>
      <c r="AX4" s="718" t="s">
        <v>135</v>
      </c>
      <c r="AY4" s="719" t="s">
        <v>136</v>
      </c>
      <c r="AZ4" s="719" t="s">
        <v>137</v>
      </c>
      <c r="BA4" s="719" t="s">
        <v>138</v>
      </c>
      <c r="BB4" s="719" t="s">
        <v>139</v>
      </c>
      <c r="BC4" s="720" t="s">
        <v>140</v>
      </c>
      <c r="BD4" s="718" t="s">
        <v>135</v>
      </c>
      <c r="BE4" s="719" t="s">
        <v>136</v>
      </c>
      <c r="BF4" s="719" t="s">
        <v>137</v>
      </c>
      <c r="BG4" s="719" t="s">
        <v>138</v>
      </c>
      <c r="BH4" s="719" t="s">
        <v>139</v>
      </c>
      <c r="BI4" s="720" t="s">
        <v>140</v>
      </c>
      <c r="BJ4" s="718" t="s">
        <v>135</v>
      </c>
      <c r="BK4" s="719" t="s">
        <v>136</v>
      </c>
      <c r="BL4" s="719" t="s">
        <v>137</v>
      </c>
      <c r="BM4" s="719" t="s">
        <v>138</v>
      </c>
      <c r="BN4" s="719" t="s">
        <v>139</v>
      </c>
      <c r="BO4" s="720" t="s">
        <v>140</v>
      </c>
      <c r="BP4" s="718" t="s">
        <v>135</v>
      </c>
      <c r="BQ4" s="719" t="s">
        <v>136</v>
      </c>
      <c r="BR4" s="719" t="s">
        <v>137</v>
      </c>
      <c r="BS4" s="719" t="s">
        <v>138</v>
      </c>
      <c r="BT4" s="719" t="s">
        <v>139</v>
      </c>
      <c r="BU4" s="720" t="s">
        <v>140</v>
      </c>
      <c r="BV4" s="718" t="s">
        <v>135</v>
      </c>
      <c r="BW4" s="719" t="s">
        <v>136</v>
      </c>
      <c r="BX4" s="719" t="s">
        <v>137</v>
      </c>
      <c r="BY4" s="719" t="s">
        <v>138</v>
      </c>
      <c r="BZ4" s="719" t="s">
        <v>139</v>
      </c>
      <c r="CA4" s="720" t="s">
        <v>140</v>
      </c>
      <c r="CB4" s="718" t="s">
        <v>135</v>
      </c>
      <c r="CC4" s="719" t="s">
        <v>136</v>
      </c>
      <c r="CD4" s="719" t="s">
        <v>137</v>
      </c>
      <c r="CE4" s="719" t="s">
        <v>138</v>
      </c>
      <c r="CF4" s="719" t="s">
        <v>139</v>
      </c>
      <c r="CG4" s="720" t="s">
        <v>140</v>
      </c>
      <c r="CH4" s="718" t="s">
        <v>135</v>
      </c>
      <c r="CI4" s="719" t="s">
        <v>136</v>
      </c>
      <c r="CJ4" s="719" t="s">
        <v>137</v>
      </c>
      <c r="CK4" s="719" t="s">
        <v>138</v>
      </c>
      <c r="CL4" s="719" t="s">
        <v>139</v>
      </c>
      <c r="CM4" s="720" t="s">
        <v>140</v>
      </c>
      <c r="CN4" s="718" t="s">
        <v>135</v>
      </c>
      <c r="CO4" s="719" t="s">
        <v>136</v>
      </c>
      <c r="CP4" s="719" t="s">
        <v>137</v>
      </c>
      <c r="CQ4" s="719" t="s">
        <v>138</v>
      </c>
      <c r="CR4" s="719" t="s">
        <v>139</v>
      </c>
      <c r="CS4" s="720" t="s">
        <v>140</v>
      </c>
      <c r="CT4" s="718" t="s">
        <v>135</v>
      </c>
      <c r="CU4" s="719" t="s">
        <v>136</v>
      </c>
      <c r="CV4" s="719" t="s">
        <v>137</v>
      </c>
      <c r="CW4" s="719" t="s">
        <v>138</v>
      </c>
      <c r="CX4" s="719" t="s">
        <v>139</v>
      </c>
      <c r="CY4" s="720" t="s">
        <v>140</v>
      </c>
      <c r="CZ4" s="718" t="s">
        <v>135</v>
      </c>
      <c r="DA4" s="719" t="s">
        <v>136</v>
      </c>
      <c r="DB4" s="719" t="s">
        <v>137</v>
      </c>
      <c r="DC4" s="719" t="s">
        <v>138</v>
      </c>
      <c r="DD4" s="719" t="s">
        <v>139</v>
      </c>
      <c r="DE4" s="720" t="s">
        <v>140</v>
      </c>
      <c r="DF4" s="718" t="s">
        <v>135</v>
      </c>
      <c r="DG4" s="719" t="s">
        <v>136</v>
      </c>
      <c r="DH4" s="719" t="s">
        <v>137</v>
      </c>
      <c r="DI4" s="719" t="s">
        <v>138</v>
      </c>
      <c r="DJ4" s="719" t="s">
        <v>139</v>
      </c>
      <c r="DK4" s="720" t="s">
        <v>140</v>
      </c>
      <c r="DL4" s="718" t="s">
        <v>135</v>
      </c>
      <c r="DM4" s="719" t="s">
        <v>136</v>
      </c>
      <c r="DN4" s="719" t="s">
        <v>137</v>
      </c>
      <c r="DO4" s="719" t="s">
        <v>138</v>
      </c>
      <c r="DP4" s="719" t="s">
        <v>139</v>
      </c>
      <c r="DQ4" s="720" t="s">
        <v>140</v>
      </c>
      <c r="DR4" s="718" t="s">
        <v>135</v>
      </c>
      <c r="DS4" s="719" t="s">
        <v>136</v>
      </c>
      <c r="DT4" s="719" t="s">
        <v>137</v>
      </c>
      <c r="DU4" s="719" t="s">
        <v>138</v>
      </c>
      <c r="DV4" s="719" t="s">
        <v>139</v>
      </c>
      <c r="DW4" s="720" t="s">
        <v>140</v>
      </c>
      <c r="DX4" s="718" t="s">
        <v>135</v>
      </c>
      <c r="DY4" s="719" t="s">
        <v>136</v>
      </c>
      <c r="DZ4" s="719" t="s">
        <v>137</v>
      </c>
      <c r="EA4" s="719" t="s">
        <v>138</v>
      </c>
      <c r="EB4" s="719" t="s">
        <v>139</v>
      </c>
      <c r="EC4" s="720" t="s">
        <v>140</v>
      </c>
      <c r="ED4" s="718" t="s">
        <v>135</v>
      </c>
      <c r="EE4" s="719" t="s">
        <v>136</v>
      </c>
      <c r="EF4" s="719" t="s">
        <v>137</v>
      </c>
      <c r="EG4" s="719" t="s">
        <v>138</v>
      </c>
      <c r="EH4" s="719" t="s">
        <v>139</v>
      </c>
      <c r="EI4" s="720" t="s">
        <v>140</v>
      </c>
      <c r="EJ4" s="718" t="s">
        <v>135</v>
      </c>
      <c r="EK4" s="719" t="s">
        <v>136</v>
      </c>
      <c r="EL4" s="719" t="s">
        <v>137</v>
      </c>
      <c r="EM4" s="719" t="s">
        <v>138</v>
      </c>
      <c r="EN4" s="719" t="s">
        <v>139</v>
      </c>
      <c r="EO4" s="720" t="s">
        <v>140</v>
      </c>
      <c r="EP4" s="718" t="s">
        <v>135</v>
      </c>
      <c r="EQ4" s="719" t="s">
        <v>136</v>
      </c>
      <c r="ER4" s="719" t="s">
        <v>137</v>
      </c>
      <c r="ES4" s="719" t="s">
        <v>138</v>
      </c>
      <c r="ET4" s="719" t="s">
        <v>139</v>
      </c>
      <c r="EU4" s="720" t="s">
        <v>140</v>
      </c>
      <c r="EV4" s="718" t="s">
        <v>135</v>
      </c>
      <c r="EW4" s="719" t="s">
        <v>136</v>
      </c>
      <c r="EX4" s="719" t="s">
        <v>137</v>
      </c>
      <c r="EY4" s="719" t="s">
        <v>138</v>
      </c>
      <c r="EZ4" s="719" t="s">
        <v>139</v>
      </c>
      <c r="FA4" s="720" t="s">
        <v>140</v>
      </c>
    </row>
    <row r="5" spans="1:157" ht="17.25" x14ac:dyDescent="0.35">
      <c r="A5" s="721" t="s">
        <v>141</v>
      </c>
      <c r="B5" s="722">
        <v>163</v>
      </c>
      <c r="C5" s="723">
        <v>1165</v>
      </c>
      <c r="D5" s="723">
        <v>18</v>
      </c>
      <c r="E5" s="723">
        <v>412</v>
      </c>
      <c r="F5" s="723">
        <v>498</v>
      </c>
      <c r="G5" s="724">
        <v>3294</v>
      </c>
      <c r="H5" s="725">
        <v>49</v>
      </c>
      <c r="I5" s="726">
        <v>5</v>
      </c>
      <c r="J5" s="726">
        <v>166</v>
      </c>
      <c r="K5" s="726"/>
      <c r="L5" s="726">
        <v>194</v>
      </c>
      <c r="M5" s="727">
        <v>27</v>
      </c>
      <c r="N5" s="725">
        <v>19</v>
      </c>
      <c r="O5" s="726">
        <v>1256</v>
      </c>
      <c r="P5" s="726">
        <v>45</v>
      </c>
      <c r="Q5" s="726">
        <v>1592</v>
      </c>
      <c r="R5" s="726">
        <v>90</v>
      </c>
      <c r="S5" s="727">
        <v>26</v>
      </c>
      <c r="T5" s="728">
        <v>354</v>
      </c>
      <c r="U5" s="726">
        <v>569</v>
      </c>
      <c r="V5" s="726"/>
      <c r="W5" s="726">
        <v>2128</v>
      </c>
      <c r="X5" s="726">
        <v>2996</v>
      </c>
      <c r="Y5" s="727">
        <v>183</v>
      </c>
      <c r="Z5" s="728">
        <v>23</v>
      </c>
      <c r="AA5" s="726">
        <v>452</v>
      </c>
      <c r="AB5" s="726">
        <v>403</v>
      </c>
      <c r="AC5" s="726">
        <v>219</v>
      </c>
      <c r="AD5" s="726">
        <v>101</v>
      </c>
      <c r="AE5" s="727"/>
      <c r="AF5" s="728">
        <v>134</v>
      </c>
      <c r="AG5" s="726">
        <v>33</v>
      </c>
      <c r="AH5" s="726">
        <v>125</v>
      </c>
      <c r="AI5" s="726">
        <v>106</v>
      </c>
      <c r="AJ5" s="726">
        <v>132</v>
      </c>
      <c r="AK5" s="727">
        <v>347</v>
      </c>
      <c r="AL5" s="728">
        <v>36</v>
      </c>
      <c r="AM5" s="726"/>
      <c r="AN5" s="726">
        <v>161</v>
      </c>
      <c r="AO5" s="726"/>
      <c r="AP5" s="726">
        <v>227</v>
      </c>
      <c r="AQ5" s="727"/>
      <c r="AR5" s="728">
        <v>7</v>
      </c>
      <c r="AS5" s="726"/>
      <c r="AT5" s="726">
        <v>194</v>
      </c>
      <c r="AU5" s="726">
        <v>104</v>
      </c>
      <c r="AV5" s="726">
        <v>224</v>
      </c>
      <c r="AW5" s="727">
        <v>2</v>
      </c>
      <c r="AX5" s="728">
        <v>5</v>
      </c>
      <c r="AY5" s="726">
        <v>200</v>
      </c>
      <c r="AZ5" s="726">
        <v>1090</v>
      </c>
      <c r="BA5" s="726">
        <v>640</v>
      </c>
      <c r="BB5" s="726">
        <v>1313</v>
      </c>
      <c r="BC5" s="727">
        <v>9</v>
      </c>
      <c r="BD5" s="728">
        <v>25</v>
      </c>
      <c r="BE5" s="726">
        <v>1435</v>
      </c>
      <c r="BF5" s="726">
        <v>93</v>
      </c>
      <c r="BG5" s="726">
        <v>695</v>
      </c>
      <c r="BH5" s="726">
        <v>3630</v>
      </c>
      <c r="BI5" s="727"/>
      <c r="BJ5" s="728">
        <v>3612</v>
      </c>
      <c r="BK5" s="726">
        <v>40237</v>
      </c>
      <c r="BL5" s="726">
        <v>2201</v>
      </c>
      <c r="BM5" s="726">
        <v>4302</v>
      </c>
      <c r="BN5" s="726">
        <v>2693</v>
      </c>
      <c r="BO5" s="727">
        <v>82205</v>
      </c>
      <c r="BP5" s="728">
        <v>382</v>
      </c>
      <c r="BQ5" s="726">
        <v>6206</v>
      </c>
      <c r="BR5" s="726">
        <v>149</v>
      </c>
      <c r="BS5" s="726">
        <v>7379</v>
      </c>
      <c r="BT5" s="726">
        <v>7429</v>
      </c>
      <c r="BU5" s="727">
        <v>1</v>
      </c>
      <c r="BV5" s="729">
        <v>9</v>
      </c>
      <c r="BW5" s="730">
        <v>602</v>
      </c>
      <c r="BX5" s="730">
        <v>579</v>
      </c>
      <c r="BY5" s="730"/>
      <c r="BZ5" s="730">
        <v>119</v>
      </c>
      <c r="CA5" s="731"/>
      <c r="CB5" s="725">
        <v>239</v>
      </c>
      <c r="CC5" s="726">
        <v>135</v>
      </c>
      <c r="CD5" s="726">
        <v>160</v>
      </c>
      <c r="CE5" s="726"/>
      <c r="CF5" s="726">
        <v>17919</v>
      </c>
      <c r="CG5" s="727">
        <v>26</v>
      </c>
      <c r="CH5" s="725">
        <v>93</v>
      </c>
      <c r="CI5" s="726">
        <v>377</v>
      </c>
      <c r="CJ5" s="726">
        <v>101</v>
      </c>
      <c r="CK5" s="726">
        <v>18</v>
      </c>
      <c r="CL5" s="726">
        <v>774</v>
      </c>
      <c r="CM5" s="727">
        <v>82</v>
      </c>
      <c r="CN5" s="725">
        <v>208</v>
      </c>
      <c r="CO5" s="726">
        <v>139</v>
      </c>
      <c r="CP5" s="726"/>
      <c r="CQ5" s="726"/>
      <c r="CR5" s="726"/>
      <c r="CS5" s="727">
        <v>3</v>
      </c>
      <c r="CT5" s="725">
        <v>108</v>
      </c>
      <c r="CU5" s="726">
        <v>1293</v>
      </c>
      <c r="CV5" s="726">
        <v>5559</v>
      </c>
      <c r="CW5" s="726">
        <v>28</v>
      </c>
      <c r="CX5" s="726">
        <v>4060</v>
      </c>
      <c r="CY5" s="727">
        <v>20</v>
      </c>
      <c r="CZ5" s="725">
        <v>141</v>
      </c>
      <c r="DA5" s="726">
        <v>2281</v>
      </c>
      <c r="DB5" s="726">
        <v>2160</v>
      </c>
      <c r="DC5" s="726"/>
      <c r="DD5" s="726">
        <v>31448</v>
      </c>
      <c r="DE5" s="727">
        <v>50</v>
      </c>
      <c r="DF5" s="732"/>
      <c r="DG5" s="733"/>
      <c r="DH5" s="733"/>
      <c r="DI5" s="733"/>
      <c r="DJ5" s="733"/>
      <c r="DK5" s="734"/>
      <c r="DL5" s="735">
        <v>586</v>
      </c>
      <c r="DM5" s="736">
        <v>266</v>
      </c>
      <c r="DN5" s="736">
        <v>1</v>
      </c>
      <c r="DO5" s="736">
        <v>19591</v>
      </c>
      <c r="DP5" s="736">
        <v>1800</v>
      </c>
      <c r="DQ5" s="682">
        <v>9200</v>
      </c>
      <c r="DR5" s="737">
        <v>267</v>
      </c>
      <c r="DS5" s="738">
        <v>483</v>
      </c>
      <c r="DT5" s="738">
        <v>214</v>
      </c>
      <c r="DU5" s="738">
        <v>64</v>
      </c>
      <c r="DV5" s="738">
        <v>620</v>
      </c>
      <c r="DW5" s="739"/>
      <c r="DX5" s="740">
        <v>67</v>
      </c>
      <c r="DY5" s="741">
        <v>1887</v>
      </c>
      <c r="DZ5" s="741">
        <v>346</v>
      </c>
      <c r="EA5" s="741">
        <v>128</v>
      </c>
      <c r="EB5" s="741">
        <v>11418</v>
      </c>
      <c r="EC5" s="742">
        <v>23</v>
      </c>
      <c r="ED5" s="725">
        <v>10</v>
      </c>
      <c r="EE5" s="726">
        <v>127</v>
      </c>
      <c r="EF5" s="726">
        <v>201</v>
      </c>
      <c r="EG5" s="726">
        <v>12</v>
      </c>
      <c r="EH5" s="726">
        <v>188</v>
      </c>
      <c r="EI5" s="743">
        <v>95</v>
      </c>
      <c r="EJ5" s="744"/>
      <c r="EK5" s="745"/>
      <c r="EL5" s="745"/>
      <c r="EM5" s="745"/>
      <c r="EN5" s="745"/>
      <c r="EO5" s="746"/>
      <c r="EP5" s="740">
        <v>929</v>
      </c>
      <c r="EQ5" s="741">
        <v>433349</v>
      </c>
      <c r="ER5" s="741">
        <v>40</v>
      </c>
      <c r="ES5" s="741">
        <v>105184</v>
      </c>
      <c r="ET5" s="741">
        <v>0</v>
      </c>
      <c r="EU5" s="742">
        <v>0</v>
      </c>
      <c r="EV5" s="744"/>
      <c r="EW5" s="745"/>
      <c r="EX5" s="747"/>
      <c r="EY5" s="747"/>
      <c r="EZ5" s="747"/>
      <c r="FA5" s="748"/>
    </row>
    <row r="6" spans="1:157" ht="17.25" x14ac:dyDescent="0.35">
      <c r="A6" s="721" t="s">
        <v>142</v>
      </c>
      <c r="B6" s="722"/>
      <c r="C6" s="723"/>
      <c r="D6" s="723"/>
      <c r="E6" s="723"/>
      <c r="F6" s="723"/>
      <c r="G6" s="724"/>
      <c r="H6" s="725"/>
      <c r="I6" s="726"/>
      <c r="J6" s="726"/>
      <c r="K6" s="726"/>
      <c r="L6" s="726"/>
      <c r="M6" s="727"/>
      <c r="N6" s="725"/>
      <c r="O6" s="726"/>
      <c r="P6" s="726"/>
      <c r="Q6" s="726"/>
      <c r="R6" s="726"/>
      <c r="S6" s="727"/>
      <c r="T6" s="728"/>
      <c r="U6" s="726"/>
      <c r="V6" s="726"/>
      <c r="W6" s="726"/>
      <c r="X6" s="726"/>
      <c r="Y6" s="727"/>
      <c r="Z6" s="728"/>
      <c r="AA6" s="726"/>
      <c r="AB6" s="726"/>
      <c r="AC6" s="726"/>
      <c r="AD6" s="726"/>
      <c r="AE6" s="727"/>
      <c r="AF6" s="728"/>
      <c r="AG6" s="726"/>
      <c r="AH6" s="726"/>
      <c r="AI6" s="726"/>
      <c r="AJ6" s="726"/>
      <c r="AK6" s="727"/>
      <c r="AL6" s="728"/>
      <c r="AM6" s="726"/>
      <c r="AN6" s="726"/>
      <c r="AO6" s="726"/>
      <c r="AP6" s="726"/>
      <c r="AQ6" s="727"/>
      <c r="AR6" s="728"/>
      <c r="AS6" s="726"/>
      <c r="AT6" s="726"/>
      <c r="AU6" s="726"/>
      <c r="AV6" s="726"/>
      <c r="AW6" s="727"/>
      <c r="AX6" s="728"/>
      <c r="AY6" s="726">
        <v>51</v>
      </c>
      <c r="AZ6" s="726">
        <v>572</v>
      </c>
      <c r="BA6" s="726">
        <v>319</v>
      </c>
      <c r="BB6" s="726">
        <v>1134</v>
      </c>
      <c r="BC6" s="727"/>
      <c r="BD6" s="728"/>
      <c r="BE6" s="726"/>
      <c r="BF6" s="726"/>
      <c r="BG6" s="726"/>
      <c r="BH6" s="726"/>
      <c r="BI6" s="727"/>
      <c r="BJ6" s="728"/>
      <c r="BK6" s="726"/>
      <c r="BL6" s="726"/>
      <c r="BM6" s="726"/>
      <c r="BN6" s="726"/>
      <c r="BO6" s="727"/>
      <c r="BP6" s="728"/>
      <c r="BQ6" s="726"/>
      <c r="BR6" s="726"/>
      <c r="BS6" s="726"/>
      <c r="BT6" s="726"/>
      <c r="BU6" s="727"/>
      <c r="BV6" s="729"/>
      <c r="BW6" s="730"/>
      <c r="BX6" s="730"/>
      <c r="BY6" s="730"/>
      <c r="BZ6" s="730"/>
      <c r="CA6" s="731"/>
      <c r="CB6" s="725"/>
      <c r="CC6" s="726"/>
      <c r="CD6" s="726"/>
      <c r="CE6" s="726"/>
      <c r="CF6" s="726"/>
      <c r="CG6" s="727"/>
      <c r="CH6" s="725"/>
      <c r="CI6" s="726"/>
      <c r="CJ6" s="726"/>
      <c r="CK6" s="726"/>
      <c r="CL6" s="726"/>
      <c r="CM6" s="727"/>
      <c r="CN6" s="725"/>
      <c r="CO6" s="726"/>
      <c r="CP6" s="726"/>
      <c r="CQ6" s="726"/>
      <c r="CR6" s="726"/>
      <c r="CS6" s="727"/>
      <c r="CT6" s="725"/>
      <c r="CU6" s="726"/>
      <c r="CV6" s="726"/>
      <c r="CW6" s="726"/>
      <c r="CX6" s="726"/>
      <c r="CY6" s="727"/>
      <c r="CZ6" s="725"/>
      <c r="DA6" s="726"/>
      <c r="DB6" s="726"/>
      <c r="DC6" s="726"/>
      <c r="DD6" s="726"/>
      <c r="DE6" s="727"/>
      <c r="DF6" s="732"/>
      <c r="DG6" s="733"/>
      <c r="DH6" s="733"/>
      <c r="DI6" s="733"/>
      <c r="DJ6" s="733"/>
      <c r="DK6" s="734"/>
      <c r="DL6" s="735"/>
      <c r="DM6" s="736"/>
      <c r="DN6" s="736"/>
      <c r="DO6" s="736"/>
      <c r="DP6" s="736"/>
      <c r="DQ6" s="682"/>
      <c r="DR6" s="737"/>
      <c r="DS6" s="738"/>
      <c r="DT6" s="738"/>
      <c r="DU6" s="738"/>
      <c r="DV6" s="738"/>
      <c r="DW6" s="739"/>
      <c r="DX6" s="740"/>
      <c r="DY6" s="741"/>
      <c r="DZ6" s="741"/>
      <c r="EA6" s="741"/>
      <c r="EB6" s="741"/>
      <c r="EC6" s="742"/>
      <c r="ED6" s="725"/>
      <c r="EE6" s="726"/>
      <c r="EF6" s="726"/>
      <c r="EG6" s="726"/>
      <c r="EH6" s="726"/>
      <c r="EI6" s="743"/>
      <c r="EJ6" s="744"/>
      <c r="EK6" s="745"/>
      <c r="EL6" s="745"/>
      <c r="EM6" s="745"/>
      <c r="EN6" s="745"/>
      <c r="EO6" s="746"/>
      <c r="EP6" s="740"/>
      <c r="EQ6" s="741"/>
      <c r="ER6" s="741"/>
      <c r="ES6" s="741"/>
      <c r="ET6" s="741"/>
      <c r="EU6" s="742"/>
      <c r="EV6" s="744"/>
      <c r="EW6" s="745"/>
      <c r="EX6" s="747"/>
      <c r="EY6" s="747"/>
      <c r="EZ6" s="747"/>
      <c r="FA6" s="748"/>
    </row>
    <row r="7" spans="1:157" ht="17.25" x14ac:dyDescent="0.35">
      <c r="A7" s="721" t="s">
        <v>143</v>
      </c>
      <c r="B7" s="749">
        <v>1167</v>
      </c>
      <c r="C7" s="750">
        <v>3937</v>
      </c>
      <c r="D7" s="750">
        <v>2435</v>
      </c>
      <c r="E7" s="750">
        <v>1965</v>
      </c>
      <c r="F7" s="750">
        <v>14925</v>
      </c>
      <c r="G7" s="751">
        <v>10420</v>
      </c>
      <c r="H7" s="752">
        <v>93</v>
      </c>
      <c r="I7" s="753">
        <v>124</v>
      </c>
      <c r="J7" s="753">
        <v>3160</v>
      </c>
      <c r="K7" s="753"/>
      <c r="L7" s="753">
        <v>2012</v>
      </c>
      <c r="M7" s="754">
        <v>223</v>
      </c>
      <c r="N7" s="752">
        <v>232</v>
      </c>
      <c r="O7" s="753">
        <v>2205</v>
      </c>
      <c r="P7" s="753">
        <v>2012</v>
      </c>
      <c r="Q7" s="753">
        <v>1697</v>
      </c>
      <c r="R7" s="753">
        <v>3413</v>
      </c>
      <c r="S7" s="754">
        <v>582</v>
      </c>
      <c r="T7" s="755">
        <v>2749</v>
      </c>
      <c r="U7" s="753">
        <v>33870</v>
      </c>
      <c r="V7" s="753">
        <v>26557</v>
      </c>
      <c r="W7" s="753">
        <v>6022</v>
      </c>
      <c r="X7" s="753">
        <v>24317</v>
      </c>
      <c r="Y7" s="754">
        <v>15790</v>
      </c>
      <c r="Z7" s="755">
        <v>259</v>
      </c>
      <c r="AA7" s="753">
        <v>313</v>
      </c>
      <c r="AB7" s="753">
        <v>12750</v>
      </c>
      <c r="AC7" s="753">
        <v>70</v>
      </c>
      <c r="AD7" s="753">
        <v>2078</v>
      </c>
      <c r="AE7" s="754"/>
      <c r="AF7" s="755">
        <v>215</v>
      </c>
      <c r="AG7" s="753">
        <v>100</v>
      </c>
      <c r="AH7" s="753">
        <v>2989</v>
      </c>
      <c r="AI7" s="753">
        <v>267</v>
      </c>
      <c r="AJ7" s="753">
        <v>1920</v>
      </c>
      <c r="AK7" s="754">
        <v>6416</v>
      </c>
      <c r="AL7" s="755">
        <v>56999</v>
      </c>
      <c r="AM7" s="753">
        <v>8</v>
      </c>
      <c r="AN7" s="753">
        <v>3731</v>
      </c>
      <c r="AO7" s="753"/>
      <c r="AP7" s="753">
        <v>25174</v>
      </c>
      <c r="AQ7" s="754"/>
      <c r="AR7" s="755">
        <v>73</v>
      </c>
      <c r="AS7" s="753"/>
      <c r="AT7" s="753">
        <v>287</v>
      </c>
      <c r="AU7" s="753">
        <v>522</v>
      </c>
      <c r="AV7" s="753">
        <v>318</v>
      </c>
      <c r="AW7" s="754">
        <v>54</v>
      </c>
      <c r="AX7" s="755">
        <v>2441</v>
      </c>
      <c r="AY7" s="753">
        <v>14061</v>
      </c>
      <c r="AZ7" s="753">
        <v>37329</v>
      </c>
      <c r="BA7" s="753">
        <v>2578</v>
      </c>
      <c r="BB7" s="753">
        <v>28097</v>
      </c>
      <c r="BC7" s="754">
        <v>2435</v>
      </c>
      <c r="BD7" s="755">
        <v>254</v>
      </c>
      <c r="BE7" s="753">
        <v>1245</v>
      </c>
      <c r="BF7" s="753">
        <v>1258</v>
      </c>
      <c r="BG7" s="753">
        <v>525</v>
      </c>
      <c r="BH7" s="753"/>
      <c r="BI7" s="754"/>
      <c r="BJ7" s="755">
        <v>43108</v>
      </c>
      <c r="BK7" s="753">
        <v>50533</v>
      </c>
      <c r="BL7" s="753">
        <v>3784</v>
      </c>
      <c r="BM7" s="753">
        <v>47262</v>
      </c>
      <c r="BN7" s="753">
        <v>34387</v>
      </c>
      <c r="BO7" s="754">
        <v>37265</v>
      </c>
      <c r="BP7" s="755">
        <v>9116</v>
      </c>
      <c r="BQ7" s="753">
        <v>26653</v>
      </c>
      <c r="BR7" s="753">
        <v>23782</v>
      </c>
      <c r="BS7" s="753">
        <v>30281</v>
      </c>
      <c r="BT7" s="753">
        <v>67179</v>
      </c>
      <c r="BU7" s="754">
        <v>35</v>
      </c>
      <c r="BV7" s="756">
        <v>301</v>
      </c>
      <c r="BW7" s="757">
        <v>1937</v>
      </c>
      <c r="BX7" s="757">
        <v>9721</v>
      </c>
      <c r="BY7" s="757"/>
      <c r="BZ7" s="757">
        <v>2594</v>
      </c>
      <c r="CA7" s="758">
        <v>3</v>
      </c>
      <c r="CB7" s="752">
        <v>2906</v>
      </c>
      <c r="CC7" s="753">
        <v>242</v>
      </c>
      <c r="CD7" s="753">
        <v>1570</v>
      </c>
      <c r="CE7" s="753"/>
      <c r="CF7" s="753">
        <v>7461</v>
      </c>
      <c r="CG7" s="754">
        <v>131</v>
      </c>
      <c r="CH7" s="752">
        <v>742</v>
      </c>
      <c r="CI7" s="753">
        <v>9538</v>
      </c>
      <c r="CJ7" s="753">
        <v>2213</v>
      </c>
      <c r="CK7" s="753">
        <v>989</v>
      </c>
      <c r="CL7" s="753">
        <v>18484</v>
      </c>
      <c r="CM7" s="754">
        <v>346</v>
      </c>
      <c r="CN7" s="752">
        <v>2571</v>
      </c>
      <c r="CO7" s="753">
        <v>21125</v>
      </c>
      <c r="CP7" s="753">
        <v>11616</v>
      </c>
      <c r="CQ7" s="753">
        <v>686</v>
      </c>
      <c r="CR7" s="753">
        <v>81954</v>
      </c>
      <c r="CS7" s="754">
        <v>73</v>
      </c>
      <c r="CT7" s="752">
        <v>1426</v>
      </c>
      <c r="CU7" s="753">
        <v>2441</v>
      </c>
      <c r="CV7" s="753">
        <v>7421</v>
      </c>
      <c r="CW7" s="753">
        <v>203</v>
      </c>
      <c r="CX7" s="753">
        <v>13317</v>
      </c>
      <c r="CY7" s="754">
        <v>40</v>
      </c>
      <c r="CZ7" s="752">
        <v>1967</v>
      </c>
      <c r="DA7" s="753">
        <v>15834</v>
      </c>
      <c r="DB7" s="753">
        <v>48297</v>
      </c>
      <c r="DC7" s="753">
        <v>832</v>
      </c>
      <c r="DD7" s="753">
        <v>111205</v>
      </c>
      <c r="DE7" s="754">
        <v>158</v>
      </c>
      <c r="DF7" s="759"/>
      <c r="DG7" s="760"/>
      <c r="DH7" s="760"/>
      <c r="DI7" s="760"/>
      <c r="DJ7" s="760"/>
      <c r="DK7" s="761"/>
      <c r="DL7" s="762">
        <v>13342</v>
      </c>
      <c r="DM7" s="763">
        <v>92936</v>
      </c>
      <c r="DN7" s="763">
        <v>58687</v>
      </c>
      <c r="DO7" s="763">
        <v>93836</v>
      </c>
      <c r="DP7" s="763">
        <v>55125</v>
      </c>
      <c r="DQ7" s="686">
        <v>39415</v>
      </c>
      <c r="DR7" s="764">
        <v>605</v>
      </c>
      <c r="DS7" s="765">
        <v>862</v>
      </c>
      <c r="DT7" s="765">
        <v>3421</v>
      </c>
      <c r="DU7" s="765">
        <v>166</v>
      </c>
      <c r="DV7" s="765">
        <v>3372</v>
      </c>
      <c r="DW7" s="766"/>
      <c r="DX7" s="767">
        <v>1554</v>
      </c>
      <c r="DY7" s="768">
        <v>4643</v>
      </c>
      <c r="DZ7" s="768">
        <v>1025</v>
      </c>
      <c r="EA7" s="768">
        <v>2654</v>
      </c>
      <c r="EB7" s="768">
        <v>10829</v>
      </c>
      <c r="EC7" s="769">
        <v>586</v>
      </c>
      <c r="ED7" s="752">
        <v>595</v>
      </c>
      <c r="EE7" s="753">
        <v>2009</v>
      </c>
      <c r="EF7" s="753">
        <v>86099</v>
      </c>
      <c r="EG7" s="753">
        <v>549</v>
      </c>
      <c r="EH7" s="753">
        <v>10017</v>
      </c>
      <c r="EI7" s="770">
        <v>51957</v>
      </c>
      <c r="EJ7" s="771"/>
      <c r="EK7" s="772"/>
      <c r="EL7" s="772"/>
      <c r="EM7" s="772"/>
      <c r="EN7" s="772"/>
      <c r="EO7" s="773"/>
      <c r="EP7" s="767">
        <v>715389</v>
      </c>
      <c r="EQ7" s="768">
        <v>7550191</v>
      </c>
      <c r="ER7" s="768">
        <v>8991942</v>
      </c>
      <c r="ES7" s="768">
        <v>4512578</v>
      </c>
      <c r="ET7" s="768">
        <v>3739888</v>
      </c>
      <c r="EU7" s="769">
        <v>27831</v>
      </c>
      <c r="EV7" s="771"/>
      <c r="EW7" s="772"/>
      <c r="EX7" s="774"/>
      <c r="EY7" s="774"/>
      <c r="EZ7" s="774"/>
      <c r="FA7" s="775"/>
    </row>
    <row r="8" spans="1:157" ht="17.25" x14ac:dyDescent="0.35">
      <c r="A8" s="721" t="s">
        <v>144</v>
      </c>
      <c r="B8" s="749">
        <v>1149</v>
      </c>
      <c r="C8" s="750">
        <v>4186</v>
      </c>
      <c r="D8" s="750">
        <v>2118</v>
      </c>
      <c r="E8" s="750">
        <v>1921</v>
      </c>
      <c r="F8" s="750">
        <v>15204</v>
      </c>
      <c r="G8" s="751">
        <v>9673</v>
      </c>
      <c r="H8" s="752">
        <v>102</v>
      </c>
      <c r="I8" s="753">
        <v>121</v>
      </c>
      <c r="J8" s="753">
        <v>3207</v>
      </c>
      <c r="K8" s="753"/>
      <c r="L8" s="753">
        <v>1977</v>
      </c>
      <c r="M8" s="754">
        <v>224</v>
      </c>
      <c r="N8" s="752">
        <v>217</v>
      </c>
      <c r="O8" s="753">
        <v>1640</v>
      </c>
      <c r="P8" s="753">
        <v>2047</v>
      </c>
      <c r="Q8" s="753">
        <v>1525</v>
      </c>
      <c r="R8" s="753">
        <v>3367</v>
      </c>
      <c r="S8" s="754">
        <v>592</v>
      </c>
      <c r="T8" s="755">
        <v>2798</v>
      </c>
      <c r="U8" s="753">
        <v>33651</v>
      </c>
      <c r="V8" s="753">
        <v>26557</v>
      </c>
      <c r="W8" s="753">
        <v>4300</v>
      </c>
      <c r="X8" s="753">
        <v>23006</v>
      </c>
      <c r="Y8" s="754">
        <v>15721</v>
      </c>
      <c r="Z8" s="755">
        <v>261</v>
      </c>
      <c r="AA8" s="753">
        <v>217</v>
      </c>
      <c r="AB8" s="753">
        <v>13097</v>
      </c>
      <c r="AC8" s="753">
        <v>48</v>
      </c>
      <c r="AD8" s="753">
        <v>2124</v>
      </c>
      <c r="AE8" s="754"/>
      <c r="AF8" s="755">
        <v>257</v>
      </c>
      <c r="AG8" s="753">
        <v>70</v>
      </c>
      <c r="AH8" s="753">
        <v>3004</v>
      </c>
      <c r="AI8" s="753">
        <v>238</v>
      </c>
      <c r="AJ8" s="753">
        <v>1958</v>
      </c>
      <c r="AK8" s="754">
        <v>6439</v>
      </c>
      <c r="AL8" s="755">
        <v>56665</v>
      </c>
      <c r="AM8" s="753">
        <v>7</v>
      </c>
      <c r="AN8" s="753">
        <v>3547</v>
      </c>
      <c r="AO8" s="753"/>
      <c r="AP8" s="753">
        <v>24980</v>
      </c>
      <c r="AQ8" s="754"/>
      <c r="AR8" s="755">
        <v>68</v>
      </c>
      <c r="AS8" s="753"/>
      <c r="AT8" s="753">
        <v>302</v>
      </c>
      <c r="AU8" s="753">
        <v>462</v>
      </c>
      <c r="AV8" s="753">
        <v>377</v>
      </c>
      <c r="AW8" s="754">
        <v>54</v>
      </c>
      <c r="AX8" s="755">
        <v>2275</v>
      </c>
      <c r="AY8" s="753">
        <v>13701</v>
      </c>
      <c r="AZ8" s="753">
        <v>37469</v>
      </c>
      <c r="BA8" s="753">
        <v>1787</v>
      </c>
      <c r="BB8" s="753">
        <v>25875</v>
      </c>
      <c r="BC8" s="754">
        <v>2405</v>
      </c>
      <c r="BD8" s="755">
        <v>220</v>
      </c>
      <c r="BE8" s="753">
        <v>1719</v>
      </c>
      <c r="BF8" s="753">
        <v>1107</v>
      </c>
      <c r="BG8" s="753">
        <v>563</v>
      </c>
      <c r="BH8" s="753"/>
      <c r="BI8" s="754"/>
      <c r="BJ8" s="755">
        <v>-44147</v>
      </c>
      <c r="BK8" s="753">
        <v>-53291</v>
      </c>
      <c r="BL8" s="753">
        <v>-2738</v>
      </c>
      <c r="BM8" s="753">
        <v>-46862</v>
      </c>
      <c r="BN8" s="753">
        <v>-34691</v>
      </c>
      <c r="BO8" s="754">
        <v>-37423</v>
      </c>
      <c r="BP8" s="755">
        <v>8572</v>
      </c>
      <c r="BQ8" s="753">
        <v>25716</v>
      </c>
      <c r="BR8" s="753">
        <v>23005</v>
      </c>
      <c r="BS8" s="753">
        <v>30102</v>
      </c>
      <c r="BT8" s="753">
        <v>67558</v>
      </c>
      <c r="BU8" s="754">
        <v>35</v>
      </c>
      <c r="BV8" s="756">
        <v>286</v>
      </c>
      <c r="BW8" s="757">
        <v>2314</v>
      </c>
      <c r="BX8" s="757">
        <v>10237</v>
      </c>
      <c r="BY8" s="757"/>
      <c r="BZ8" s="757">
        <v>2425</v>
      </c>
      <c r="CA8" s="758">
        <v>3</v>
      </c>
      <c r="CB8" s="752">
        <v>2825</v>
      </c>
      <c r="CC8" s="753">
        <v>255</v>
      </c>
      <c r="CD8" s="753">
        <v>1412</v>
      </c>
      <c r="CE8" s="753"/>
      <c r="CF8" s="753">
        <v>8735</v>
      </c>
      <c r="CG8" s="754">
        <v>1112</v>
      </c>
      <c r="CH8" s="752">
        <v>749</v>
      </c>
      <c r="CI8" s="753">
        <v>9372</v>
      </c>
      <c r="CJ8" s="753">
        <v>2115</v>
      </c>
      <c r="CK8" s="753">
        <v>997</v>
      </c>
      <c r="CL8" s="753">
        <v>18420</v>
      </c>
      <c r="CM8" s="754">
        <v>354</v>
      </c>
      <c r="CN8" s="752">
        <v>2552</v>
      </c>
      <c r="CO8" s="753">
        <v>20970</v>
      </c>
      <c r="CP8" s="753">
        <v>11616</v>
      </c>
      <c r="CQ8" s="753">
        <v>686</v>
      </c>
      <c r="CR8" s="753">
        <v>81954</v>
      </c>
      <c r="CS8" s="754">
        <v>61</v>
      </c>
      <c r="CT8" s="752">
        <v>1400</v>
      </c>
      <c r="CU8" s="753">
        <v>2233</v>
      </c>
      <c r="CV8" s="753">
        <v>8272</v>
      </c>
      <c r="CW8" s="753">
        <v>205</v>
      </c>
      <c r="CX8" s="753">
        <v>13824</v>
      </c>
      <c r="CY8" s="754">
        <v>27</v>
      </c>
      <c r="CZ8" s="752">
        <v>1936</v>
      </c>
      <c r="DA8" s="753">
        <v>17041</v>
      </c>
      <c r="DB8" s="753">
        <v>48515</v>
      </c>
      <c r="DC8" s="753">
        <v>724</v>
      </c>
      <c r="DD8" s="753">
        <v>120284</v>
      </c>
      <c r="DE8" s="754">
        <v>73</v>
      </c>
      <c r="DF8" s="759"/>
      <c r="DG8" s="760"/>
      <c r="DH8" s="760"/>
      <c r="DI8" s="760"/>
      <c r="DJ8" s="760"/>
      <c r="DK8" s="761"/>
      <c r="DL8" s="762">
        <v>13170</v>
      </c>
      <c r="DM8" s="763">
        <v>90568</v>
      </c>
      <c r="DN8" s="763">
        <v>58672</v>
      </c>
      <c r="DO8" s="763">
        <v>105332</v>
      </c>
      <c r="DP8" s="763">
        <v>55292</v>
      </c>
      <c r="DQ8" s="686">
        <v>33056</v>
      </c>
      <c r="DR8" s="764">
        <v>627</v>
      </c>
      <c r="DS8" s="765">
        <v>628</v>
      </c>
      <c r="DT8" s="765">
        <v>3370</v>
      </c>
      <c r="DU8" s="765">
        <v>171</v>
      </c>
      <c r="DV8" s="765">
        <v>3304</v>
      </c>
      <c r="DW8" s="766"/>
      <c r="DX8" s="767">
        <v>1464</v>
      </c>
      <c r="DY8" s="768">
        <v>5201</v>
      </c>
      <c r="DZ8" s="768">
        <v>1161</v>
      </c>
      <c r="EA8" s="768">
        <v>2731</v>
      </c>
      <c r="EB8" s="768">
        <v>11787</v>
      </c>
      <c r="EC8" s="769">
        <v>539</v>
      </c>
      <c r="ED8" s="752">
        <v>582</v>
      </c>
      <c r="EE8" s="753">
        <v>1929</v>
      </c>
      <c r="EF8" s="753">
        <v>86255</v>
      </c>
      <c r="EG8" s="753">
        <v>550</v>
      </c>
      <c r="EH8" s="753">
        <v>9966</v>
      </c>
      <c r="EI8" s="770">
        <v>52030</v>
      </c>
      <c r="EJ8" s="771"/>
      <c r="EK8" s="772"/>
      <c r="EL8" s="772"/>
      <c r="EM8" s="772"/>
      <c r="EN8" s="772"/>
      <c r="EO8" s="773"/>
      <c r="EP8" s="767">
        <v>688474</v>
      </c>
      <c r="EQ8" s="768">
        <v>6396153</v>
      </c>
      <c r="ER8" s="768">
        <v>8064097</v>
      </c>
      <c r="ES8" s="768">
        <v>4518337</v>
      </c>
      <c r="ET8" s="768">
        <v>3739888</v>
      </c>
      <c r="EU8" s="769">
        <v>27831</v>
      </c>
      <c r="EV8" s="771"/>
      <c r="EW8" s="772"/>
      <c r="EX8" s="774"/>
      <c r="EY8" s="774"/>
      <c r="EZ8" s="774"/>
      <c r="FA8" s="775"/>
    </row>
    <row r="9" spans="1:157" ht="17.25" x14ac:dyDescent="0.35">
      <c r="A9" s="721" t="s">
        <v>145</v>
      </c>
      <c r="B9" s="776">
        <v>29</v>
      </c>
      <c r="C9" s="777"/>
      <c r="D9" s="777"/>
      <c r="E9" s="777"/>
      <c r="F9" s="777"/>
      <c r="G9" s="778"/>
      <c r="H9" s="771">
        <v>8</v>
      </c>
      <c r="I9" s="772"/>
      <c r="J9" s="772">
        <v>2</v>
      </c>
      <c r="K9" s="772"/>
      <c r="L9" s="772"/>
      <c r="M9" s="779">
        <v>7</v>
      </c>
      <c r="N9" s="771">
        <v>6</v>
      </c>
      <c r="O9" s="772"/>
      <c r="P9" s="772"/>
      <c r="Q9" s="772"/>
      <c r="R9" s="772"/>
      <c r="S9" s="779"/>
      <c r="T9" s="780">
        <v>57</v>
      </c>
      <c r="U9" s="772"/>
      <c r="V9" s="772"/>
      <c r="W9" s="772"/>
      <c r="X9" s="772"/>
      <c r="Y9" s="779">
        <v>137</v>
      </c>
      <c r="Z9" s="780">
        <v>1</v>
      </c>
      <c r="AA9" s="772"/>
      <c r="AB9" s="772"/>
      <c r="AC9" s="772"/>
      <c r="AD9" s="772"/>
      <c r="AE9" s="779"/>
      <c r="AF9" s="780">
        <v>21</v>
      </c>
      <c r="AG9" s="772"/>
      <c r="AH9" s="772"/>
      <c r="AI9" s="772"/>
      <c r="AJ9" s="772"/>
      <c r="AK9" s="779"/>
      <c r="AL9" s="780">
        <v>146</v>
      </c>
      <c r="AM9" s="772"/>
      <c r="AN9" s="772"/>
      <c r="AO9" s="772"/>
      <c r="AP9" s="772"/>
      <c r="AQ9" s="779"/>
      <c r="AR9" s="780">
        <v>6</v>
      </c>
      <c r="AS9" s="772"/>
      <c r="AT9" s="772"/>
      <c r="AU9" s="772"/>
      <c r="AV9" s="772"/>
      <c r="AW9" s="779"/>
      <c r="AX9" s="780">
        <v>87</v>
      </c>
      <c r="AY9" s="772"/>
      <c r="AZ9" s="772"/>
      <c r="BA9" s="772"/>
      <c r="BB9" s="772"/>
      <c r="BC9" s="779">
        <v>10</v>
      </c>
      <c r="BD9" s="780">
        <v>12</v>
      </c>
      <c r="BE9" s="772"/>
      <c r="BF9" s="772"/>
      <c r="BG9" s="772"/>
      <c r="BH9" s="772"/>
      <c r="BI9" s="779"/>
      <c r="BJ9" s="780">
        <v>-164</v>
      </c>
      <c r="BK9" s="772"/>
      <c r="BL9" s="772"/>
      <c r="BM9" s="772"/>
      <c r="BN9" s="772"/>
      <c r="BO9" s="779">
        <v>-2</v>
      </c>
      <c r="BP9" s="780">
        <v>43</v>
      </c>
      <c r="BQ9" s="772"/>
      <c r="BR9" s="772"/>
      <c r="BS9" s="772"/>
      <c r="BT9" s="772"/>
      <c r="BU9" s="779"/>
      <c r="BV9" s="756">
        <v>8</v>
      </c>
      <c r="BW9" s="757"/>
      <c r="BX9" s="757"/>
      <c r="BY9" s="757"/>
      <c r="BZ9" s="757">
        <v>172</v>
      </c>
      <c r="CA9" s="758"/>
      <c r="CB9" s="771">
        <v>110</v>
      </c>
      <c r="CC9" s="772"/>
      <c r="CD9" s="772"/>
      <c r="CE9" s="772"/>
      <c r="CF9" s="772"/>
      <c r="CG9" s="779">
        <v>7</v>
      </c>
      <c r="CH9" s="781">
        <v>23</v>
      </c>
      <c r="CI9" s="782"/>
      <c r="CJ9" s="782"/>
      <c r="CK9" s="782"/>
      <c r="CL9" s="782"/>
      <c r="CM9" s="783"/>
      <c r="CN9" s="771">
        <v>51</v>
      </c>
      <c r="CO9" s="772"/>
      <c r="CP9" s="772"/>
      <c r="CQ9" s="772"/>
      <c r="CR9" s="772"/>
      <c r="CS9" s="779">
        <v>1</v>
      </c>
      <c r="CT9" s="771">
        <v>50</v>
      </c>
      <c r="CU9" s="772"/>
      <c r="CV9" s="772"/>
      <c r="CW9" s="772"/>
      <c r="CX9" s="772"/>
      <c r="CY9" s="779">
        <v>4</v>
      </c>
      <c r="CZ9" s="771">
        <v>52</v>
      </c>
      <c r="DA9" s="772"/>
      <c r="DB9" s="772"/>
      <c r="DC9" s="772"/>
      <c r="DD9" s="772"/>
      <c r="DE9" s="779">
        <v>82</v>
      </c>
      <c r="DF9" s="759"/>
      <c r="DG9" s="760"/>
      <c r="DH9" s="760"/>
      <c r="DI9" s="760"/>
      <c r="DJ9" s="760"/>
      <c r="DK9" s="761"/>
      <c r="DL9" s="762">
        <v>308</v>
      </c>
      <c r="DM9" s="763"/>
      <c r="DN9" s="763"/>
      <c r="DO9" s="763"/>
      <c r="DP9" s="763"/>
      <c r="DQ9" s="686"/>
      <c r="DR9" s="764">
        <v>110</v>
      </c>
      <c r="DS9" s="765"/>
      <c r="DT9" s="765"/>
      <c r="DU9" s="765"/>
      <c r="DV9" s="765"/>
      <c r="DW9" s="766"/>
      <c r="DX9" s="767">
        <v>14</v>
      </c>
      <c r="DY9" s="768"/>
      <c r="DZ9" s="768"/>
      <c r="EA9" s="768"/>
      <c r="EB9" s="768"/>
      <c r="EC9" s="769">
        <v>3</v>
      </c>
      <c r="ED9" s="771">
        <v>8</v>
      </c>
      <c r="EE9" s="772"/>
      <c r="EF9" s="772"/>
      <c r="EG9" s="772"/>
      <c r="EH9" s="772"/>
      <c r="EI9" s="773"/>
      <c r="EJ9" s="771"/>
      <c r="EK9" s="772"/>
      <c r="EL9" s="772"/>
      <c r="EM9" s="772"/>
      <c r="EN9" s="772"/>
      <c r="EO9" s="773"/>
      <c r="EP9" s="771">
        <v>3960</v>
      </c>
      <c r="EQ9" s="772"/>
      <c r="ER9" s="772"/>
      <c r="ES9" s="772">
        <v>1494</v>
      </c>
      <c r="ET9" s="772">
        <v>0</v>
      </c>
      <c r="EU9" s="773">
        <v>0</v>
      </c>
      <c r="EV9" s="771"/>
      <c r="EW9" s="772"/>
      <c r="EX9" s="774"/>
      <c r="EY9" s="774"/>
      <c r="EZ9" s="774"/>
      <c r="FA9" s="775"/>
    </row>
    <row r="10" spans="1:157" ht="17.25" x14ac:dyDescent="0.35">
      <c r="A10" s="784" t="s">
        <v>146</v>
      </c>
      <c r="B10" s="749">
        <v>29</v>
      </c>
      <c r="C10" s="750"/>
      <c r="D10" s="750"/>
      <c r="E10" s="750"/>
      <c r="F10" s="750"/>
      <c r="G10" s="751"/>
      <c r="H10" s="752">
        <v>8</v>
      </c>
      <c r="I10" s="753"/>
      <c r="J10" s="753">
        <v>2</v>
      </c>
      <c r="K10" s="753"/>
      <c r="L10" s="753"/>
      <c r="M10" s="754">
        <v>2</v>
      </c>
      <c r="N10" s="752">
        <v>6</v>
      </c>
      <c r="O10" s="753"/>
      <c r="P10" s="753"/>
      <c r="Q10" s="753"/>
      <c r="R10" s="753"/>
      <c r="S10" s="754"/>
      <c r="T10" s="755">
        <v>47</v>
      </c>
      <c r="U10" s="753"/>
      <c r="V10" s="753"/>
      <c r="W10" s="753"/>
      <c r="X10" s="753"/>
      <c r="Y10" s="754">
        <v>128</v>
      </c>
      <c r="Z10" s="755">
        <v>1</v>
      </c>
      <c r="AA10" s="753"/>
      <c r="AB10" s="753"/>
      <c r="AC10" s="753"/>
      <c r="AD10" s="753"/>
      <c r="AE10" s="754"/>
      <c r="AF10" s="755">
        <v>18</v>
      </c>
      <c r="AG10" s="753"/>
      <c r="AH10" s="753"/>
      <c r="AI10" s="753"/>
      <c r="AJ10" s="753"/>
      <c r="AK10" s="754"/>
      <c r="AL10" s="755">
        <v>144</v>
      </c>
      <c r="AM10" s="753"/>
      <c r="AN10" s="753"/>
      <c r="AO10" s="753"/>
      <c r="AP10" s="753"/>
      <c r="AQ10" s="754"/>
      <c r="AR10" s="755">
        <v>6</v>
      </c>
      <c r="AS10" s="753"/>
      <c r="AT10" s="753"/>
      <c r="AU10" s="753"/>
      <c r="AV10" s="753"/>
      <c r="AW10" s="754"/>
      <c r="AX10" s="755">
        <v>72</v>
      </c>
      <c r="AY10" s="753"/>
      <c r="AZ10" s="753"/>
      <c r="BA10" s="753"/>
      <c r="BB10" s="753"/>
      <c r="BC10" s="754">
        <v>9</v>
      </c>
      <c r="BD10" s="755">
        <v>12</v>
      </c>
      <c r="BE10" s="753"/>
      <c r="BF10" s="753"/>
      <c r="BG10" s="753"/>
      <c r="BH10" s="753"/>
      <c r="BI10" s="754"/>
      <c r="BJ10" s="755">
        <v>-157</v>
      </c>
      <c r="BK10" s="753"/>
      <c r="BL10" s="753"/>
      <c r="BM10" s="753"/>
      <c r="BN10" s="753"/>
      <c r="BO10" s="754">
        <v>-2</v>
      </c>
      <c r="BP10" s="755">
        <v>43</v>
      </c>
      <c r="BQ10" s="753"/>
      <c r="BR10" s="753"/>
      <c r="BS10" s="753"/>
      <c r="BT10" s="753"/>
      <c r="BU10" s="754"/>
      <c r="BV10" s="752">
        <v>8</v>
      </c>
      <c r="BW10" s="753"/>
      <c r="BX10" s="753"/>
      <c r="BY10" s="753"/>
      <c r="BZ10" s="753">
        <v>32</v>
      </c>
      <c r="CA10" s="754"/>
      <c r="CB10" s="752">
        <v>87</v>
      </c>
      <c r="CC10" s="753"/>
      <c r="CD10" s="753"/>
      <c r="CE10" s="753"/>
      <c r="CF10" s="753"/>
      <c r="CG10" s="754">
        <v>2</v>
      </c>
      <c r="CH10" s="752">
        <v>23</v>
      </c>
      <c r="CI10" s="753"/>
      <c r="CJ10" s="753"/>
      <c r="CK10" s="753"/>
      <c r="CL10" s="753"/>
      <c r="CM10" s="754"/>
      <c r="CN10" s="752">
        <v>48</v>
      </c>
      <c r="CO10" s="753"/>
      <c r="CP10" s="753"/>
      <c r="CQ10" s="753"/>
      <c r="CR10" s="753"/>
      <c r="CS10" s="754">
        <v>1</v>
      </c>
      <c r="CT10" s="752">
        <v>47</v>
      </c>
      <c r="CU10" s="753"/>
      <c r="CV10" s="753"/>
      <c r="CW10" s="753"/>
      <c r="CX10" s="753"/>
      <c r="CY10" s="754">
        <v>3</v>
      </c>
      <c r="CZ10" s="752">
        <v>52</v>
      </c>
      <c r="DA10" s="753"/>
      <c r="DB10" s="753"/>
      <c r="DC10" s="753"/>
      <c r="DD10" s="753"/>
      <c r="DE10" s="754">
        <v>5</v>
      </c>
      <c r="DF10" s="759"/>
      <c r="DG10" s="760"/>
      <c r="DH10" s="760"/>
      <c r="DI10" s="760"/>
      <c r="DJ10" s="760"/>
      <c r="DK10" s="761"/>
      <c r="DL10" s="762">
        <v>282</v>
      </c>
      <c r="DM10" s="763"/>
      <c r="DN10" s="763"/>
      <c r="DO10" s="763"/>
      <c r="DP10" s="763"/>
      <c r="DQ10" s="686"/>
      <c r="DR10" s="764">
        <v>110</v>
      </c>
      <c r="DS10" s="765"/>
      <c r="DT10" s="765"/>
      <c r="DU10" s="765"/>
      <c r="DV10" s="765"/>
      <c r="DW10" s="766"/>
      <c r="DX10" s="767">
        <v>14</v>
      </c>
      <c r="DY10" s="768"/>
      <c r="DZ10" s="768"/>
      <c r="EA10" s="768"/>
      <c r="EB10" s="768"/>
      <c r="EC10" s="769">
        <v>3</v>
      </c>
      <c r="ED10" s="752">
        <v>8</v>
      </c>
      <c r="EE10" s="753"/>
      <c r="EF10" s="753"/>
      <c r="EG10" s="753"/>
      <c r="EH10" s="753"/>
      <c r="EI10" s="770"/>
      <c r="EJ10" s="771"/>
      <c r="EK10" s="772"/>
      <c r="EL10" s="772"/>
      <c r="EM10" s="772"/>
      <c r="EN10" s="772"/>
      <c r="EO10" s="773"/>
      <c r="EP10" s="767">
        <v>3875</v>
      </c>
      <c r="EQ10" s="768"/>
      <c r="ER10" s="768"/>
      <c r="ES10" s="768">
        <v>1494</v>
      </c>
      <c r="ET10" s="772">
        <v>0</v>
      </c>
      <c r="EU10" s="773">
        <v>0</v>
      </c>
      <c r="EV10" s="771"/>
      <c r="EW10" s="772"/>
      <c r="EX10" s="774"/>
      <c r="EY10" s="774"/>
      <c r="EZ10" s="774"/>
      <c r="FA10" s="775"/>
    </row>
    <row r="11" spans="1:157" ht="17.25" x14ac:dyDescent="0.35">
      <c r="A11" s="784" t="s">
        <v>147</v>
      </c>
      <c r="B11" s="749">
        <v>0</v>
      </c>
      <c r="C11" s="750"/>
      <c r="D11" s="750"/>
      <c r="E11" s="750"/>
      <c r="F11" s="750"/>
      <c r="G11" s="751"/>
      <c r="H11" s="752"/>
      <c r="I11" s="753"/>
      <c r="J11" s="753"/>
      <c r="K11" s="753"/>
      <c r="L11" s="753"/>
      <c r="M11" s="754">
        <v>5</v>
      </c>
      <c r="N11" s="752"/>
      <c r="O11" s="753"/>
      <c r="P11" s="753"/>
      <c r="Q11" s="753"/>
      <c r="R11" s="753"/>
      <c r="S11" s="754"/>
      <c r="T11" s="755">
        <v>10</v>
      </c>
      <c r="U11" s="753"/>
      <c r="V11" s="753"/>
      <c r="W11" s="753"/>
      <c r="X11" s="753"/>
      <c r="Y11" s="754">
        <v>127</v>
      </c>
      <c r="Z11" s="755"/>
      <c r="AA11" s="753"/>
      <c r="AB11" s="753"/>
      <c r="AC11" s="753"/>
      <c r="AD11" s="753"/>
      <c r="AE11" s="754"/>
      <c r="AF11" s="755">
        <v>3</v>
      </c>
      <c r="AG11" s="753"/>
      <c r="AH11" s="753"/>
      <c r="AI11" s="753"/>
      <c r="AJ11" s="753"/>
      <c r="AK11" s="754"/>
      <c r="AL11" s="755">
        <v>2</v>
      </c>
      <c r="AM11" s="753"/>
      <c r="AN11" s="753"/>
      <c r="AO11" s="753"/>
      <c r="AP11" s="753"/>
      <c r="AQ11" s="754"/>
      <c r="AR11" s="755"/>
      <c r="AS11" s="753"/>
      <c r="AT11" s="753"/>
      <c r="AU11" s="753"/>
      <c r="AV11" s="753"/>
      <c r="AW11" s="754"/>
      <c r="AX11" s="755">
        <v>15</v>
      </c>
      <c r="AY11" s="753"/>
      <c r="AZ11" s="753"/>
      <c r="BA11" s="753"/>
      <c r="BB11" s="753"/>
      <c r="BC11" s="754">
        <v>1</v>
      </c>
      <c r="BD11" s="755"/>
      <c r="BE11" s="753"/>
      <c r="BF11" s="753"/>
      <c r="BG11" s="753"/>
      <c r="BH11" s="753"/>
      <c r="BI11" s="754"/>
      <c r="BJ11" s="755">
        <v>-7</v>
      </c>
      <c r="BK11" s="753"/>
      <c r="BL11" s="753"/>
      <c r="BM11" s="753"/>
      <c r="BN11" s="753"/>
      <c r="BO11" s="754"/>
      <c r="BP11" s="755"/>
      <c r="BQ11" s="753"/>
      <c r="BR11" s="753"/>
      <c r="BS11" s="753"/>
      <c r="BT11" s="753"/>
      <c r="BU11" s="754"/>
      <c r="BV11" s="752"/>
      <c r="BW11" s="753"/>
      <c r="BX11" s="753"/>
      <c r="BY11" s="753"/>
      <c r="BZ11" s="753">
        <v>140</v>
      </c>
      <c r="CA11" s="754"/>
      <c r="CB11" s="752">
        <v>23</v>
      </c>
      <c r="CC11" s="753"/>
      <c r="CD11" s="753"/>
      <c r="CE11" s="753"/>
      <c r="CF11" s="753"/>
      <c r="CG11" s="754">
        <v>5</v>
      </c>
      <c r="CH11" s="752"/>
      <c r="CI11" s="753"/>
      <c r="CJ11" s="753"/>
      <c r="CK11" s="753"/>
      <c r="CL11" s="753"/>
      <c r="CM11" s="754"/>
      <c r="CN11" s="752">
        <v>3</v>
      </c>
      <c r="CO11" s="753"/>
      <c r="CP11" s="753"/>
      <c r="CQ11" s="753"/>
      <c r="CR11" s="753"/>
      <c r="CS11" s="754"/>
      <c r="CT11" s="752">
        <v>3</v>
      </c>
      <c r="CU11" s="753"/>
      <c r="CV11" s="753"/>
      <c r="CW11" s="753"/>
      <c r="CX11" s="753"/>
      <c r="CY11" s="754">
        <v>1</v>
      </c>
      <c r="CZ11" s="752"/>
      <c r="DA11" s="753"/>
      <c r="DB11" s="753"/>
      <c r="DC11" s="753"/>
      <c r="DD11" s="753"/>
      <c r="DE11" s="754">
        <v>77</v>
      </c>
      <c r="DF11" s="759"/>
      <c r="DG11" s="760"/>
      <c r="DH11" s="760"/>
      <c r="DI11" s="760"/>
      <c r="DJ11" s="760"/>
      <c r="DK11" s="761"/>
      <c r="DL11" s="762">
        <v>26</v>
      </c>
      <c r="DM11" s="763"/>
      <c r="DN11" s="763"/>
      <c r="DO11" s="763"/>
      <c r="DP11" s="763"/>
      <c r="DQ11" s="686"/>
      <c r="DR11" s="764"/>
      <c r="DS11" s="765"/>
      <c r="DT11" s="765"/>
      <c r="DU11" s="765"/>
      <c r="DV11" s="765"/>
      <c r="DW11" s="766"/>
      <c r="DX11" s="767"/>
      <c r="DY11" s="768"/>
      <c r="DZ11" s="768"/>
      <c r="EA11" s="768"/>
      <c r="EB11" s="768"/>
      <c r="EC11" s="769"/>
      <c r="ED11" s="752"/>
      <c r="EE11" s="753"/>
      <c r="EF11" s="753"/>
      <c r="EG11" s="753"/>
      <c r="EH11" s="753"/>
      <c r="EI11" s="770"/>
      <c r="EJ11" s="771"/>
      <c r="EK11" s="772"/>
      <c r="EL11" s="772"/>
      <c r="EM11" s="772"/>
      <c r="EN11" s="772"/>
      <c r="EO11" s="773"/>
      <c r="EP11" s="767">
        <v>85</v>
      </c>
      <c r="EQ11" s="768"/>
      <c r="ER11" s="768"/>
      <c r="ES11" s="768"/>
      <c r="ET11" s="772">
        <v>0</v>
      </c>
      <c r="EU11" s="773">
        <v>0</v>
      </c>
      <c r="EV11" s="771"/>
      <c r="EW11" s="772"/>
      <c r="EX11" s="774"/>
      <c r="EY11" s="774"/>
      <c r="EZ11" s="774"/>
      <c r="FA11" s="775"/>
    </row>
    <row r="12" spans="1:157" ht="17.25" x14ac:dyDescent="0.35">
      <c r="A12" s="721" t="s">
        <v>148</v>
      </c>
      <c r="B12" s="749">
        <v>0</v>
      </c>
      <c r="C12" s="750"/>
      <c r="D12" s="750"/>
      <c r="E12" s="750"/>
      <c r="F12" s="750"/>
      <c r="G12" s="751"/>
      <c r="H12" s="752"/>
      <c r="I12" s="753"/>
      <c r="J12" s="753"/>
      <c r="K12" s="753"/>
      <c r="L12" s="753"/>
      <c r="M12" s="754"/>
      <c r="N12" s="752"/>
      <c r="O12" s="753"/>
      <c r="P12" s="753"/>
      <c r="Q12" s="753"/>
      <c r="R12" s="753"/>
      <c r="S12" s="754"/>
      <c r="T12" s="755"/>
      <c r="U12" s="753"/>
      <c r="V12" s="753"/>
      <c r="W12" s="753"/>
      <c r="X12" s="753"/>
      <c r="Y12" s="754"/>
      <c r="Z12" s="755"/>
      <c r="AA12" s="753"/>
      <c r="AB12" s="753"/>
      <c r="AC12" s="753"/>
      <c r="AD12" s="753"/>
      <c r="AE12" s="754"/>
      <c r="AF12" s="755"/>
      <c r="AG12" s="753"/>
      <c r="AH12" s="753"/>
      <c r="AI12" s="753"/>
      <c r="AJ12" s="753"/>
      <c r="AK12" s="754"/>
      <c r="AL12" s="755"/>
      <c r="AM12" s="753"/>
      <c r="AN12" s="753"/>
      <c r="AO12" s="753"/>
      <c r="AP12" s="753"/>
      <c r="AQ12" s="754"/>
      <c r="AR12" s="755"/>
      <c r="AS12" s="753"/>
      <c r="AT12" s="753"/>
      <c r="AU12" s="753"/>
      <c r="AV12" s="753"/>
      <c r="AW12" s="754"/>
      <c r="AX12" s="755"/>
      <c r="AY12" s="753"/>
      <c r="AZ12" s="753"/>
      <c r="BA12" s="753"/>
      <c r="BB12" s="753"/>
      <c r="BC12" s="754">
        <v>11</v>
      </c>
      <c r="BD12" s="755"/>
      <c r="BE12" s="753"/>
      <c r="BF12" s="753"/>
      <c r="BG12" s="753"/>
      <c r="BH12" s="753"/>
      <c r="BI12" s="754"/>
      <c r="BJ12" s="755">
        <v>-3</v>
      </c>
      <c r="BK12" s="753"/>
      <c r="BL12" s="753"/>
      <c r="BM12" s="753"/>
      <c r="BN12" s="753"/>
      <c r="BO12" s="754">
        <v>-18</v>
      </c>
      <c r="BP12" s="755">
        <v>12</v>
      </c>
      <c r="BQ12" s="753"/>
      <c r="BR12" s="753"/>
      <c r="BS12" s="753"/>
      <c r="BT12" s="753"/>
      <c r="BU12" s="754"/>
      <c r="BV12" s="752"/>
      <c r="BW12" s="753"/>
      <c r="BX12" s="753"/>
      <c r="BY12" s="753"/>
      <c r="BZ12" s="753"/>
      <c r="CA12" s="754"/>
      <c r="CB12" s="752">
        <v>97</v>
      </c>
      <c r="CC12" s="753"/>
      <c r="CD12" s="753"/>
      <c r="CE12" s="753"/>
      <c r="CF12" s="753"/>
      <c r="CG12" s="754"/>
      <c r="CH12" s="752"/>
      <c r="CI12" s="753"/>
      <c r="CJ12" s="753"/>
      <c r="CK12" s="753"/>
      <c r="CL12" s="753"/>
      <c r="CM12" s="754"/>
      <c r="CN12" s="752"/>
      <c r="CO12" s="753"/>
      <c r="CP12" s="753"/>
      <c r="CQ12" s="753"/>
      <c r="CR12" s="753"/>
      <c r="CS12" s="754">
        <v>10</v>
      </c>
      <c r="CT12" s="752"/>
      <c r="CU12" s="753"/>
      <c r="CV12" s="753"/>
      <c r="CW12" s="753"/>
      <c r="CX12" s="753"/>
      <c r="CY12" s="754">
        <v>15</v>
      </c>
      <c r="CZ12" s="752"/>
      <c r="DA12" s="753"/>
      <c r="DB12" s="753"/>
      <c r="DC12" s="753"/>
      <c r="DD12" s="753"/>
      <c r="DE12" s="754"/>
      <c r="DF12" s="759"/>
      <c r="DG12" s="760"/>
      <c r="DH12" s="760"/>
      <c r="DI12" s="760"/>
      <c r="DJ12" s="760"/>
      <c r="DK12" s="761"/>
      <c r="DL12" s="762"/>
      <c r="DM12" s="763"/>
      <c r="DN12" s="763"/>
      <c r="DO12" s="763"/>
      <c r="DP12" s="763">
        <v>1</v>
      </c>
      <c r="DQ12" s="686">
        <v>11</v>
      </c>
      <c r="DR12" s="764"/>
      <c r="DS12" s="765"/>
      <c r="DT12" s="765"/>
      <c r="DU12" s="765"/>
      <c r="DV12" s="765"/>
      <c r="DW12" s="766"/>
      <c r="DX12" s="767">
        <v>41</v>
      </c>
      <c r="DY12" s="768"/>
      <c r="DZ12" s="768"/>
      <c r="EA12" s="768"/>
      <c r="EB12" s="768"/>
      <c r="EC12" s="769">
        <v>43</v>
      </c>
      <c r="ED12" s="752"/>
      <c r="EE12" s="753"/>
      <c r="EF12" s="753"/>
      <c r="EG12" s="753"/>
      <c r="EH12" s="753"/>
      <c r="EI12" s="770"/>
      <c r="EJ12" s="771"/>
      <c r="EK12" s="772"/>
      <c r="EL12" s="772"/>
      <c r="EM12" s="772"/>
      <c r="EN12" s="772"/>
      <c r="EO12" s="773"/>
      <c r="EP12" s="767"/>
      <c r="EQ12" s="768"/>
      <c r="ER12" s="768"/>
      <c r="ES12" s="768"/>
      <c r="ET12" s="772">
        <v>0</v>
      </c>
      <c r="EU12" s="773">
        <v>0</v>
      </c>
      <c r="EV12" s="771"/>
      <c r="EW12" s="772"/>
      <c r="EX12" s="774"/>
      <c r="EY12" s="774"/>
      <c r="EZ12" s="774"/>
      <c r="FA12" s="775"/>
    </row>
    <row r="13" spans="1:157" ht="17.25" x14ac:dyDescent="0.35">
      <c r="A13" s="721" t="s">
        <v>149</v>
      </c>
      <c r="B13" s="776">
        <v>0</v>
      </c>
      <c r="C13" s="777"/>
      <c r="D13" s="777"/>
      <c r="E13" s="777"/>
      <c r="F13" s="777"/>
      <c r="G13" s="778"/>
      <c r="H13" s="771"/>
      <c r="I13" s="772"/>
      <c r="J13" s="772"/>
      <c r="K13" s="772"/>
      <c r="L13" s="772"/>
      <c r="M13" s="779"/>
      <c r="N13" s="771"/>
      <c r="O13" s="772">
        <v>365</v>
      </c>
      <c r="P13" s="772">
        <v>1</v>
      </c>
      <c r="Q13" s="772"/>
      <c r="R13" s="772"/>
      <c r="S13" s="779"/>
      <c r="T13" s="780"/>
      <c r="U13" s="772"/>
      <c r="V13" s="772"/>
      <c r="W13" s="772"/>
      <c r="X13" s="772"/>
      <c r="Y13" s="779">
        <v>1</v>
      </c>
      <c r="Z13" s="780"/>
      <c r="AA13" s="772"/>
      <c r="AB13" s="772"/>
      <c r="AC13" s="772"/>
      <c r="AD13" s="772"/>
      <c r="AE13" s="779"/>
      <c r="AF13" s="780"/>
      <c r="AG13" s="772"/>
      <c r="AH13" s="772"/>
      <c r="AI13" s="772"/>
      <c r="AJ13" s="772"/>
      <c r="AK13" s="779"/>
      <c r="AL13" s="780"/>
      <c r="AM13" s="772"/>
      <c r="AN13" s="772"/>
      <c r="AO13" s="772"/>
      <c r="AP13" s="772"/>
      <c r="AQ13" s="779"/>
      <c r="AR13" s="780"/>
      <c r="AS13" s="772"/>
      <c r="AT13" s="772"/>
      <c r="AU13" s="772"/>
      <c r="AV13" s="772"/>
      <c r="AW13" s="779"/>
      <c r="AX13" s="780"/>
      <c r="AY13" s="772"/>
      <c r="AZ13" s="772"/>
      <c r="BA13" s="772"/>
      <c r="BB13" s="772"/>
      <c r="BC13" s="779"/>
      <c r="BD13" s="780"/>
      <c r="BE13" s="772"/>
      <c r="BF13" s="772"/>
      <c r="BG13" s="772"/>
      <c r="BH13" s="772"/>
      <c r="BI13" s="779"/>
      <c r="BJ13" s="780"/>
      <c r="BK13" s="772"/>
      <c r="BL13" s="772"/>
      <c r="BM13" s="772"/>
      <c r="BN13" s="772"/>
      <c r="BO13" s="779"/>
      <c r="BP13" s="780"/>
      <c r="BQ13" s="772"/>
      <c r="BR13" s="772"/>
      <c r="BS13" s="772"/>
      <c r="BT13" s="772"/>
      <c r="BU13" s="779"/>
      <c r="BV13" s="756"/>
      <c r="BW13" s="757"/>
      <c r="BX13" s="757"/>
      <c r="BY13" s="757"/>
      <c r="BZ13" s="757"/>
      <c r="CA13" s="758"/>
      <c r="CB13" s="771"/>
      <c r="CC13" s="772"/>
      <c r="CD13" s="772"/>
      <c r="CE13" s="772"/>
      <c r="CF13" s="772"/>
      <c r="CG13" s="779"/>
      <c r="CH13" s="781"/>
      <c r="CI13" s="782"/>
      <c r="CJ13" s="782"/>
      <c r="CK13" s="782"/>
      <c r="CL13" s="782"/>
      <c r="CM13" s="783"/>
      <c r="CN13" s="771"/>
      <c r="CO13" s="772"/>
      <c r="CP13" s="772"/>
      <c r="CQ13" s="772"/>
      <c r="CR13" s="772"/>
      <c r="CS13" s="779"/>
      <c r="CT13" s="771"/>
      <c r="CU13" s="772"/>
      <c r="CV13" s="772"/>
      <c r="CW13" s="772"/>
      <c r="CX13" s="772"/>
      <c r="CY13" s="779"/>
      <c r="CZ13" s="771"/>
      <c r="DA13" s="772"/>
      <c r="DB13" s="772"/>
      <c r="DC13" s="772"/>
      <c r="DD13" s="772"/>
      <c r="DE13" s="779"/>
      <c r="DF13" s="759"/>
      <c r="DG13" s="760"/>
      <c r="DH13" s="760"/>
      <c r="DI13" s="760"/>
      <c r="DJ13" s="760"/>
      <c r="DK13" s="761"/>
      <c r="DL13" s="762"/>
      <c r="DM13" s="763"/>
      <c r="DN13" s="763"/>
      <c r="DO13" s="763"/>
      <c r="DP13" s="763">
        <v>108</v>
      </c>
      <c r="DQ13" s="686" t="s">
        <v>19</v>
      </c>
      <c r="DR13" s="764"/>
      <c r="DS13" s="765"/>
      <c r="DT13" s="765"/>
      <c r="DU13" s="765"/>
      <c r="DV13" s="765"/>
      <c r="DW13" s="766"/>
      <c r="DX13" s="767"/>
      <c r="DY13" s="768"/>
      <c r="DZ13" s="768"/>
      <c r="EA13" s="768"/>
      <c r="EB13" s="768"/>
      <c r="EC13" s="769"/>
      <c r="ED13" s="771"/>
      <c r="EE13" s="772"/>
      <c r="EF13" s="772"/>
      <c r="EG13" s="772"/>
      <c r="EH13" s="772"/>
      <c r="EI13" s="773"/>
      <c r="EJ13" s="771"/>
      <c r="EK13" s="772"/>
      <c r="EL13" s="772"/>
      <c r="EM13" s="772"/>
      <c r="EN13" s="772"/>
      <c r="EO13" s="773"/>
      <c r="EP13" s="771">
        <v>5921</v>
      </c>
      <c r="EQ13" s="772">
        <v>605427</v>
      </c>
      <c r="ER13" s="772">
        <v>194735</v>
      </c>
      <c r="ES13" s="772">
        <v>370</v>
      </c>
      <c r="ET13" s="772">
        <v>0</v>
      </c>
      <c r="EU13" s="773">
        <v>0</v>
      </c>
      <c r="EV13" s="771"/>
      <c r="EW13" s="772"/>
      <c r="EX13" s="774"/>
      <c r="EY13" s="774"/>
      <c r="EZ13" s="774"/>
      <c r="FA13" s="775"/>
    </row>
    <row r="14" spans="1:157" ht="17.25" x14ac:dyDescent="0.35">
      <c r="A14" s="721" t="s">
        <v>150</v>
      </c>
      <c r="B14" s="776">
        <v>0</v>
      </c>
      <c r="C14" s="777"/>
      <c r="D14" s="777"/>
      <c r="E14" s="777"/>
      <c r="F14" s="777"/>
      <c r="G14" s="778"/>
      <c r="H14" s="771"/>
      <c r="I14" s="772"/>
      <c r="J14" s="772"/>
      <c r="K14" s="772"/>
      <c r="L14" s="772"/>
      <c r="M14" s="779"/>
      <c r="N14" s="771"/>
      <c r="O14" s="772"/>
      <c r="P14" s="772"/>
      <c r="Q14" s="772"/>
      <c r="R14" s="772"/>
      <c r="S14" s="779"/>
      <c r="T14" s="780"/>
      <c r="U14" s="772"/>
      <c r="V14" s="772"/>
      <c r="W14" s="772"/>
      <c r="X14" s="772"/>
      <c r="Y14" s="779"/>
      <c r="Z14" s="780"/>
      <c r="AA14" s="772"/>
      <c r="AB14" s="772"/>
      <c r="AC14" s="772"/>
      <c r="AD14" s="772"/>
      <c r="AE14" s="779"/>
      <c r="AF14" s="780"/>
      <c r="AG14" s="772"/>
      <c r="AH14" s="772"/>
      <c r="AI14" s="772"/>
      <c r="AJ14" s="772"/>
      <c r="AK14" s="779"/>
      <c r="AL14" s="780"/>
      <c r="AM14" s="772"/>
      <c r="AN14" s="772"/>
      <c r="AO14" s="772"/>
      <c r="AP14" s="772"/>
      <c r="AQ14" s="779"/>
      <c r="AR14" s="780"/>
      <c r="AS14" s="772"/>
      <c r="AT14" s="772"/>
      <c r="AU14" s="772"/>
      <c r="AV14" s="772"/>
      <c r="AW14" s="779"/>
      <c r="AX14" s="780"/>
      <c r="AY14" s="772">
        <v>197</v>
      </c>
      <c r="AZ14" s="772">
        <v>164</v>
      </c>
      <c r="BA14" s="772">
        <v>615</v>
      </c>
      <c r="BB14" s="772">
        <v>2134</v>
      </c>
      <c r="BC14" s="779"/>
      <c r="BD14" s="780"/>
      <c r="BE14" s="772"/>
      <c r="BF14" s="772"/>
      <c r="BG14" s="772"/>
      <c r="BH14" s="772"/>
      <c r="BI14" s="779"/>
      <c r="BJ14" s="780"/>
      <c r="BK14" s="772"/>
      <c r="BL14" s="772"/>
      <c r="BM14" s="772"/>
      <c r="BN14" s="772"/>
      <c r="BO14" s="779"/>
      <c r="BP14" s="780"/>
      <c r="BQ14" s="772"/>
      <c r="BR14" s="772"/>
      <c r="BS14" s="772"/>
      <c r="BT14" s="772"/>
      <c r="BU14" s="779"/>
      <c r="BV14" s="756"/>
      <c r="BW14" s="757"/>
      <c r="BX14" s="757"/>
      <c r="BY14" s="757"/>
      <c r="BZ14" s="757"/>
      <c r="CA14" s="758"/>
      <c r="CB14" s="771"/>
      <c r="CC14" s="772"/>
      <c r="CD14" s="772"/>
      <c r="CE14" s="772"/>
      <c r="CF14" s="772"/>
      <c r="CG14" s="779"/>
      <c r="CH14" s="781"/>
      <c r="CI14" s="782"/>
      <c r="CJ14" s="782"/>
      <c r="CK14" s="782"/>
      <c r="CL14" s="782"/>
      <c r="CM14" s="783"/>
      <c r="CN14" s="771"/>
      <c r="CO14" s="772"/>
      <c r="CP14" s="772"/>
      <c r="CQ14" s="772"/>
      <c r="CR14" s="772"/>
      <c r="CS14" s="779"/>
      <c r="CT14" s="771"/>
      <c r="CU14" s="772"/>
      <c r="CV14" s="772"/>
      <c r="CW14" s="772"/>
      <c r="CX14" s="772"/>
      <c r="CY14" s="779"/>
      <c r="CZ14" s="771"/>
      <c r="DA14" s="772"/>
      <c r="DB14" s="772"/>
      <c r="DC14" s="772"/>
      <c r="DD14" s="772"/>
      <c r="DE14" s="779"/>
      <c r="DF14" s="759"/>
      <c r="DG14" s="760"/>
      <c r="DH14" s="760"/>
      <c r="DI14" s="760"/>
      <c r="DJ14" s="760"/>
      <c r="DK14" s="761"/>
      <c r="DL14" s="762"/>
      <c r="DM14" s="763"/>
      <c r="DN14" s="763"/>
      <c r="DO14" s="763"/>
      <c r="DP14" s="763"/>
      <c r="DQ14" s="686"/>
      <c r="DR14" s="764"/>
      <c r="DS14" s="765">
        <v>155</v>
      </c>
      <c r="DT14" s="765">
        <v>6</v>
      </c>
      <c r="DU14" s="765"/>
      <c r="DV14" s="765">
        <v>25</v>
      </c>
      <c r="DW14" s="766"/>
      <c r="DX14" s="767"/>
      <c r="DY14" s="768"/>
      <c r="DZ14" s="768"/>
      <c r="EA14" s="768"/>
      <c r="EB14" s="768"/>
      <c r="EC14" s="769"/>
      <c r="ED14" s="771"/>
      <c r="EE14" s="772"/>
      <c r="EF14" s="772"/>
      <c r="EG14" s="772"/>
      <c r="EH14" s="772"/>
      <c r="EI14" s="773"/>
      <c r="EJ14" s="771"/>
      <c r="EK14" s="772"/>
      <c r="EL14" s="772"/>
      <c r="EM14" s="772"/>
      <c r="EN14" s="772"/>
      <c r="EO14" s="773"/>
      <c r="EP14" s="771"/>
      <c r="EQ14" s="772"/>
      <c r="ER14" s="772"/>
      <c r="ES14" s="772"/>
      <c r="ET14" s="772">
        <v>0</v>
      </c>
      <c r="EU14" s="773">
        <v>0</v>
      </c>
      <c r="EV14" s="771"/>
      <c r="EW14" s="772"/>
      <c r="EX14" s="774"/>
      <c r="EY14" s="774"/>
      <c r="EZ14" s="774"/>
      <c r="FA14" s="775"/>
    </row>
    <row r="15" spans="1:157" ht="17.25" x14ac:dyDescent="0.35">
      <c r="A15" s="721" t="s">
        <v>151</v>
      </c>
      <c r="B15" s="749">
        <v>152</v>
      </c>
      <c r="C15" s="750">
        <v>916</v>
      </c>
      <c r="D15" s="750">
        <v>335</v>
      </c>
      <c r="E15" s="750">
        <v>456</v>
      </c>
      <c r="F15" s="750">
        <v>219</v>
      </c>
      <c r="G15" s="751">
        <v>4041</v>
      </c>
      <c r="H15" s="752">
        <v>32</v>
      </c>
      <c r="I15" s="753">
        <v>8</v>
      </c>
      <c r="J15" s="753">
        <v>117</v>
      </c>
      <c r="K15" s="753"/>
      <c r="L15" s="753">
        <v>229</v>
      </c>
      <c r="M15" s="754">
        <v>19</v>
      </c>
      <c r="N15" s="752">
        <v>26</v>
      </c>
      <c r="O15" s="753">
        <v>1456</v>
      </c>
      <c r="P15" s="753">
        <v>9</v>
      </c>
      <c r="Q15" s="753">
        <v>1764</v>
      </c>
      <c r="R15" s="753">
        <v>124</v>
      </c>
      <c r="S15" s="754">
        <v>15</v>
      </c>
      <c r="T15" s="755">
        <v>218</v>
      </c>
      <c r="U15" s="753">
        <v>768</v>
      </c>
      <c r="V15" s="753"/>
      <c r="W15" s="753">
        <v>3635</v>
      </c>
      <c r="X15" s="753">
        <v>4307</v>
      </c>
      <c r="Y15" s="754">
        <v>115</v>
      </c>
      <c r="Z15" s="755">
        <v>20</v>
      </c>
      <c r="AA15" s="753">
        <v>548</v>
      </c>
      <c r="AB15" s="753">
        <v>56</v>
      </c>
      <c r="AC15" s="753">
        <v>241</v>
      </c>
      <c r="AD15" s="753">
        <v>55</v>
      </c>
      <c r="AE15" s="754"/>
      <c r="AF15" s="755">
        <v>71</v>
      </c>
      <c r="AG15" s="753">
        <v>63</v>
      </c>
      <c r="AH15" s="753">
        <v>110</v>
      </c>
      <c r="AI15" s="753">
        <v>135</v>
      </c>
      <c r="AJ15" s="753">
        <v>94</v>
      </c>
      <c r="AK15" s="754">
        <v>324</v>
      </c>
      <c r="AL15" s="755">
        <v>224</v>
      </c>
      <c r="AM15" s="753">
        <v>1</v>
      </c>
      <c r="AN15" s="753">
        <v>345</v>
      </c>
      <c r="AO15" s="753"/>
      <c r="AP15" s="753">
        <v>421</v>
      </c>
      <c r="AQ15" s="754"/>
      <c r="AR15" s="755">
        <v>6</v>
      </c>
      <c r="AS15" s="753"/>
      <c r="AT15" s="753">
        <v>179</v>
      </c>
      <c r="AU15" s="753">
        <v>164</v>
      </c>
      <c r="AV15" s="753">
        <v>165</v>
      </c>
      <c r="AW15" s="754">
        <v>2</v>
      </c>
      <c r="AX15" s="755">
        <v>84</v>
      </c>
      <c r="AY15" s="753">
        <v>312</v>
      </c>
      <c r="AZ15" s="753">
        <v>214</v>
      </c>
      <c r="BA15" s="753">
        <v>497</v>
      </c>
      <c r="BB15" s="753">
        <v>267</v>
      </c>
      <c r="BC15" s="754">
        <v>18</v>
      </c>
      <c r="BD15" s="755">
        <v>47</v>
      </c>
      <c r="BE15" s="753">
        <v>961</v>
      </c>
      <c r="BF15" s="753">
        <v>244</v>
      </c>
      <c r="BG15" s="753">
        <v>657</v>
      </c>
      <c r="BH15" s="753">
        <v>3630</v>
      </c>
      <c r="BI15" s="754"/>
      <c r="BJ15" s="755">
        <v>2406</v>
      </c>
      <c r="BK15" s="753">
        <v>37479</v>
      </c>
      <c r="BL15" s="753">
        <v>3247</v>
      </c>
      <c r="BM15" s="753">
        <v>4702</v>
      </c>
      <c r="BN15" s="753">
        <v>2389</v>
      </c>
      <c r="BO15" s="754">
        <v>82027</v>
      </c>
      <c r="BP15" s="755">
        <v>871</v>
      </c>
      <c r="BQ15" s="753">
        <v>7143</v>
      </c>
      <c r="BR15" s="753">
        <v>926</v>
      </c>
      <c r="BS15" s="753">
        <v>7558</v>
      </c>
      <c r="BT15" s="753">
        <v>7050</v>
      </c>
      <c r="BU15" s="754">
        <v>1</v>
      </c>
      <c r="BV15" s="756">
        <v>16</v>
      </c>
      <c r="BW15" s="757">
        <v>225</v>
      </c>
      <c r="BX15" s="757">
        <v>63</v>
      </c>
      <c r="BY15" s="757"/>
      <c r="BZ15" s="757">
        <v>116</v>
      </c>
      <c r="CA15" s="758"/>
      <c r="CB15" s="752">
        <v>113</v>
      </c>
      <c r="CC15" s="753">
        <v>122</v>
      </c>
      <c r="CD15" s="753">
        <v>318</v>
      </c>
      <c r="CE15" s="753"/>
      <c r="CF15" s="753">
        <v>16605</v>
      </c>
      <c r="CG15" s="754">
        <v>38</v>
      </c>
      <c r="CH15" s="752">
        <v>63</v>
      </c>
      <c r="CI15" s="753">
        <v>543</v>
      </c>
      <c r="CJ15" s="753">
        <v>199</v>
      </c>
      <c r="CK15" s="753">
        <v>10</v>
      </c>
      <c r="CL15" s="753">
        <v>838</v>
      </c>
      <c r="CM15" s="754">
        <v>74</v>
      </c>
      <c r="CN15" s="752">
        <v>176</v>
      </c>
      <c r="CO15" s="753">
        <v>294</v>
      </c>
      <c r="CP15" s="753"/>
      <c r="CQ15" s="753"/>
      <c r="CR15" s="753"/>
      <c r="CS15" s="754">
        <v>4</v>
      </c>
      <c r="CT15" s="752">
        <v>84</v>
      </c>
      <c r="CU15" s="753">
        <v>1501</v>
      </c>
      <c r="CV15" s="753">
        <v>4708</v>
      </c>
      <c r="CW15" s="753">
        <v>26</v>
      </c>
      <c r="CX15" s="753">
        <v>3553</v>
      </c>
      <c r="CY15" s="754">
        <v>14</v>
      </c>
      <c r="CZ15" s="752">
        <v>120</v>
      </c>
      <c r="DA15" s="753">
        <v>1074</v>
      </c>
      <c r="DB15" s="753">
        <v>1942</v>
      </c>
      <c r="DC15" s="753">
        <v>108</v>
      </c>
      <c r="DD15" s="753">
        <v>22369</v>
      </c>
      <c r="DE15" s="754">
        <v>53</v>
      </c>
      <c r="DF15" s="759"/>
      <c r="DG15" s="760"/>
      <c r="DH15" s="760"/>
      <c r="DI15" s="760"/>
      <c r="DJ15" s="760"/>
      <c r="DK15" s="761"/>
      <c r="DL15" s="762">
        <v>450</v>
      </c>
      <c r="DM15" s="763">
        <v>2634</v>
      </c>
      <c r="DN15" s="763">
        <v>16</v>
      </c>
      <c r="DO15" s="763">
        <v>8095</v>
      </c>
      <c r="DP15" s="763">
        <v>1524</v>
      </c>
      <c r="DQ15" s="686">
        <v>15548</v>
      </c>
      <c r="DR15" s="764">
        <v>117</v>
      </c>
      <c r="DS15" s="765">
        <v>562</v>
      </c>
      <c r="DT15" s="765">
        <v>259</v>
      </c>
      <c r="DU15" s="765">
        <v>59</v>
      </c>
      <c r="DV15" s="765">
        <v>663</v>
      </c>
      <c r="DW15" s="766"/>
      <c r="DX15" s="767">
        <v>102</v>
      </c>
      <c r="DY15" s="768">
        <v>1329</v>
      </c>
      <c r="DZ15" s="768">
        <v>210</v>
      </c>
      <c r="EA15" s="768">
        <v>51</v>
      </c>
      <c r="EB15" s="717">
        <v>10460</v>
      </c>
      <c r="EC15" s="769">
        <v>24</v>
      </c>
      <c r="ED15" s="752">
        <v>15</v>
      </c>
      <c r="EE15" s="753">
        <v>207</v>
      </c>
      <c r="EF15" s="753">
        <v>45</v>
      </c>
      <c r="EG15" s="753">
        <v>11</v>
      </c>
      <c r="EH15" s="753">
        <v>239</v>
      </c>
      <c r="EI15" s="770">
        <v>22</v>
      </c>
      <c r="EJ15" s="771"/>
      <c r="EK15" s="772"/>
      <c r="EL15" s="772"/>
      <c r="EM15" s="772"/>
      <c r="EN15" s="772"/>
      <c r="EO15" s="773"/>
      <c r="EP15" s="752">
        <v>17963</v>
      </c>
      <c r="EQ15" s="753">
        <v>981960</v>
      </c>
      <c r="ER15" s="753">
        <v>733150</v>
      </c>
      <c r="ES15" s="753">
        <v>97561</v>
      </c>
      <c r="ET15" s="772">
        <v>0</v>
      </c>
      <c r="EU15" s="773">
        <v>0</v>
      </c>
      <c r="EV15" s="771"/>
      <c r="EW15" s="772"/>
      <c r="EX15" s="774"/>
      <c r="EY15" s="774"/>
      <c r="EZ15" s="774"/>
      <c r="FA15" s="775"/>
    </row>
    <row r="16" spans="1:157" ht="17.25" x14ac:dyDescent="0.35">
      <c r="A16" s="784" t="s">
        <v>152</v>
      </c>
      <c r="B16" s="749">
        <v>141</v>
      </c>
      <c r="C16" s="750">
        <v>382</v>
      </c>
      <c r="D16" s="750">
        <v>333</v>
      </c>
      <c r="E16" s="750">
        <v>86</v>
      </c>
      <c r="F16" s="750">
        <v>219</v>
      </c>
      <c r="G16" s="751">
        <v>1194</v>
      </c>
      <c r="H16" s="752">
        <v>24</v>
      </c>
      <c r="I16" s="753">
        <v>7</v>
      </c>
      <c r="J16" s="753">
        <v>112</v>
      </c>
      <c r="K16" s="753"/>
      <c r="L16" s="753">
        <v>202</v>
      </c>
      <c r="M16" s="754">
        <v>19</v>
      </c>
      <c r="N16" s="752">
        <v>26</v>
      </c>
      <c r="O16" s="753">
        <v>955</v>
      </c>
      <c r="P16" s="753">
        <v>5</v>
      </c>
      <c r="Q16" s="753">
        <v>273</v>
      </c>
      <c r="R16" s="753">
        <v>124</v>
      </c>
      <c r="S16" s="754"/>
      <c r="T16" s="755">
        <v>147</v>
      </c>
      <c r="U16" s="753">
        <v>615</v>
      </c>
      <c r="V16" s="753"/>
      <c r="W16" s="753">
        <v>2019</v>
      </c>
      <c r="X16" s="753">
        <v>4307</v>
      </c>
      <c r="Y16" s="754">
        <v>106</v>
      </c>
      <c r="Z16" s="755">
        <v>19</v>
      </c>
      <c r="AA16" s="753">
        <v>214</v>
      </c>
      <c r="AB16" s="753">
        <v>56</v>
      </c>
      <c r="AC16" s="753">
        <v>64</v>
      </c>
      <c r="AD16" s="753">
        <v>55</v>
      </c>
      <c r="AE16" s="754"/>
      <c r="AF16" s="755">
        <v>62</v>
      </c>
      <c r="AG16" s="753">
        <v>31</v>
      </c>
      <c r="AH16" s="753">
        <v>110</v>
      </c>
      <c r="AI16" s="753">
        <v>36</v>
      </c>
      <c r="AJ16" s="753">
        <v>92</v>
      </c>
      <c r="AK16" s="754">
        <v>217</v>
      </c>
      <c r="AL16" s="755">
        <v>224</v>
      </c>
      <c r="AM16" s="753">
        <v>1</v>
      </c>
      <c r="AN16" s="753">
        <v>131</v>
      </c>
      <c r="AO16" s="753"/>
      <c r="AP16" s="753">
        <v>320</v>
      </c>
      <c r="AQ16" s="754"/>
      <c r="AR16" s="755">
        <v>6</v>
      </c>
      <c r="AS16" s="753"/>
      <c r="AT16" s="753">
        <v>59</v>
      </c>
      <c r="AU16" s="753">
        <v>91</v>
      </c>
      <c r="AV16" s="753"/>
      <c r="AW16" s="754">
        <v>2</v>
      </c>
      <c r="AX16" s="755">
        <v>84</v>
      </c>
      <c r="AY16" s="753">
        <v>298</v>
      </c>
      <c r="AZ16" s="753">
        <v>194</v>
      </c>
      <c r="BA16" s="753">
        <v>497</v>
      </c>
      <c r="BB16" s="753">
        <v>242</v>
      </c>
      <c r="BC16" s="754">
        <v>13</v>
      </c>
      <c r="BD16" s="755">
        <v>43</v>
      </c>
      <c r="BE16" s="753">
        <v>297</v>
      </c>
      <c r="BF16" s="753">
        <v>236</v>
      </c>
      <c r="BG16" s="753">
        <v>548</v>
      </c>
      <c r="BH16" s="753"/>
      <c r="BI16" s="754"/>
      <c r="BJ16" s="755">
        <v>1461</v>
      </c>
      <c r="BK16" s="753">
        <v>13425</v>
      </c>
      <c r="BL16" s="753">
        <v>1497</v>
      </c>
      <c r="BM16" s="753">
        <v>1567</v>
      </c>
      <c r="BN16" s="753">
        <v>2307</v>
      </c>
      <c r="BO16" s="754">
        <v>12563</v>
      </c>
      <c r="BP16" s="755">
        <v>828</v>
      </c>
      <c r="BQ16" s="753">
        <v>3279</v>
      </c>
      <c r="BR16" s="753">
        <v>846</v>
      </c>
      <c r="BS16" s="753">
        <v>208</v>
      </c>
      <c r="BT16" s="753">
        <v>6360</v>
      </c>
      <c r="BU16" s="754">
        <v>1</v>
      </c>
      <c r="BV16" s="756">
        <v>16</v>
      </c>
      <c r="BW16" s="757">
        <v>221</v>
      </c>
      <c r="BX16" s="757">
        <v>51</v>
      </c>
      <c r="BY16" s="757"/>
      <c r="BZ16" s="757">
        <v>116</v>
      </c>
      <c r="CA16" s="758"/>
      <c r="CB16" s="752">
        <v>104</v>
      </c>
      <c r="CC16" s="753">
        <v>49</v>
      </c>
      <c r="CD16" s="753">
        <v>231</v>
      </c>
      <c r="CE16" s="753"/>
      <c r="CF16" s="753">
        <v>1825</v>
      </c>
      <c r="CG16" s="754">
        <v>38</v>
      </c>
      <c r="CH16" s="752">
        <v>50</v>
      </c>
      <c r="CI16" s="753">
        <v>501</v>
      </c>
      <c r="CJ16" s="753">
        <v>132</v>
      </c>
      <c r="CK16" s="753">
        <v>9</v>
      </c>
      <c r="CL16" s="753">
        <v>808</v>
      </c>
      <c r="CM16" s="754">
        <v>64</v>
      </c>
      <c r="CN16" s="752">
        <v>167</v>
      </c>
      <c r="CO16" s="753">
        <v>226</v>
      </c>
      <c r="CP16" s="753"/>
      <c r="CQ16" s="753"/>
      <c r="CR16" s="753"/>
      <c r="CS16" s="754">
        <v>4</v>
      </c>
      <c r="CT16" s="752">
        <v>81</v>
      </c>
      <c r="CU16" s="753">
        <v>997</v>
      </c>
      <c r="CV16" s="753">
        <v>4214</v>
      </c>
      <c r="CW16" s="753">
        <v>26</v>
      </c>
      <c r="CX16" s="753">
        <v>2423</v>
      </c>
      <c r="CY16" s="754">
        <v>8</v>
      </c>
      <c r="CZ16" s="752">
        <v>109</v>
      </c>
      <c r="DA16" s="753">
        <v>522</v>
      </c>
      <c r="DB16" s="753">
        <v>446</v>
      </c>
      <c r="DC16" s="753">
        <v>108</v>
      </c>
      <c r="DD16" s="753">
        <v>5990</v>
      </c>
      <c r="DE16" s="754">
        <v>53</v>
      </c>
      <c r="DF16" s="759"/>
      <c r="DG16" s="760"/>
      <c r="DH16" s="760"/>
      <c r="DI16" s="760"/>
      <c r="DJ16" s="760"/>
      <c r="DK16" s="761"/>
      <c r="DL16" s="762">
        <v>364</v>
      </c>
      <c r="DM16" s="763">
        <v>2603</v>
      </c>
      <c r="DN16" s="763">
        <v>14</v>
      </c>
      <c r="DO16" s="763">
        <v>4695</v>
      </c>
      <c r="DP16" s="763">
        <v>1517</v>
      </c>
      <c r="DQ16" s="686">
        <v>13137</v>
      </c>
      <c r="DR16" s="764">
        <v>82</v>
      </c>
      <c r="DS16" s="765">
        <v>430</v>
      </c>
      <c r="DT16" s="765">
        <v>256</v>
      </c>
      <c r="DU16" s="765">
        <v>59</v>
      </c>
      <c r="DV16" s="765">
        <v>148</v>
      </c>
      <c r="DW16" s="766"/>
      <c r="DX16" s="767">
        <v>100</v>
      </c>
      <c r="DY16" s="768">
        <v>1119</v>
      </c>
      <c r="DZ16" s="768">
        <v>210</v>
      </c>
      <c r="EA16" s="768">
        <v>36</v>
      </c>
      <c r="EB16" s="717">
        <v>2711</v>
      </c>
      <c r="EC16" s="769">
        <v>23</v>
      </c>
      <c r="ED16" s="752">
        <v>15</v>
      </c>
      <c r="EE16" s="753">
        <v>169</v>
      </c>
      <c r="EF16" s="753">
        <v>42</v>
      </c>
      <c r="EG16" s="753">
        <v>11</v>
      </c>
      <c r="EH16" s="753">
        <v>239</v>
      </c>
      <c r="EI16" s="770">
        <v>21</v>
      </c>
      <c r="EJ16" s="771"/>
      <c r="EK16" s="772"/>
      <c r="EL16" s="772"/>
      <c r="EM16" s="772"/>
      <c r="EN16" s="772"/>
      <c r="EO16" s="773"/>
      <c r="EP16" s="752">
        <v>12015</v>
      </c>
      <c r="EQ16" s="753">
        <v>669186</v>
      </c>
      <c r="ER16" s="753">
        <v>528463</v>
      </c>
      <c r="ES16" s="753">
        <v>14398</v>
      </c>
      <c r="ET16" s="772">
        <v>0</v>
      </c>
      <c r="EU16" s="773">
        <v>0</v>
      </c>
      <c r="EV16" s="771"/>
      <c r="EW16" s="772"/>
      <c r="EX16" s="774"/>
      <c r="EY16" s="774"/>
      <c r="EZ16" s="774"/>
      <c r="FA16" s="775"/>
    </row>
    <row r="17" spans="1:157" ht="17.25" x14ac:dyDescent="0.35">
      <c r="A17" s="784" t="s">
        <v>153</v>
      </c>
      <c r="B17" s="749">
        <v>9</v>
      </c>
      <c r="C17" s="750">
        <v>76</v>
      </c>
      <c r="D17" s="750">
        <v>2</v>
      </c>
      <c r="E17" s="750">
        <v>84</v>
      </c>
      <c r="F17" s="750"/>
      <c r="G17" s="751">
        <v>686</v>
      </c>
      <c r="H17" s="752">
        <v>8</v>
      </c>
      <c r="I17" s="753"/>
      <c r="J17" s="753">
        <v>1</v>
      </c>
      <c r="K17" s="753"/>
      <c r="L17" s="753">
        <v>9</v>
      </c>
      <c r="M17" s="754"/>
      <c r="N17" s="752"/>
      <c r="O17" s="753">
        <v>500</v>
      </c>
      <c r="P17" s="753">
        <v>2</v>
      </c>
      <c r="Q17" s="753">
        <v>295</v>
      </c>
      <c r="R17" s="753"/>
      <c r="S17" s="754"/>
      <c r="T17" s="755">
        <v>70</v>
      </c>
      <c r="U17" s="753">
        <v>153</v>
      </c>
      <c r="V17" s="753"/>
      <c r="W17" s="753">
        <v>1616</v>
      </c>
      <c r="X17" s="753"/>
      <c r="Y17" s="754">
        <v>8</v>
      </c>
      <c r="Z17" s="755"/>
      <c r="AA17" s="753">
        <v>114</v>
      </c>
      <c r="AB17" s="753"/>
      <c r="AC17" s="753">
        <v>54</v>
      </c>
      <c r="AD17" s="753"/>
      <c r="AE17" s="754"/>
      <c r="AF17" s="755">
        <v>6</v>
      </c>
      <c r="AG17" s="753">
        <v>7</v>
      </c>
      <c r="AH17" s="753"/>
      <c r="AI17" s="753">
        <v>12</v>
      </c>
      <c r="AJ17" s="753"/>
      <c r="AK17" s="754"/>
      <c r="AL17" s="755"/>
      <c r="AM17" s="753"/>
      <c r="AN17" s="753">
        <v>154</v>
      </c>
      <c r="AO17" s="753"/>
      <c r="AP17" s="753">
        <v>32</v>
      </c>
      <c r="AQ17" s="754"/>
      <c r="AR17" s="755"/>
      <c r="AS17" s="753"/>
      <c r="AT17" s="753">
        <v>28</v>
      </c>
      <c r="AU17" s="753">
        <v>34</v>
      </c>
      <c r="AV17" s="753">
        <v>6</v>
      </c>
      <c r="AW17" s="754"/>
      <c r="AX17" s="755"/>
      <c r="AY17" s="753">
        <v>8</v>
      </c>
      <c r="AZ17" s="753">
        <v>20</v>
      </c>
      <c r="BA17" s="753"/>
      <c r="BB17" s="753">
        <v>2</v>
      </c>
      <c r="BC17" s="754">
        <v>1</v>
      </c>
      <c r="BD17" s="755">
        <v>2</v>
      </c>
      <c r="BE17" s="753">
        <v>74</v>
      </c>
      <c r="BF17" s="753">
        <v>4</v>
      </c>
      <c r="BG17" s="753">
        <v>5</v>
      </c>
      <c r="BH17" s="753"/>
      <c r="BI17" s="754"/>
      <c r="BJ17" s="755">
        <v>501</v>
      </c>
      <c r="BK17" s="753">
        <v>5876</v>
      </c>
      <c r="BL17" s="753">
        <v>443</v>
      </c>
      <c r="BM17" s="753">
        <v>625</v>
      </c>
      <c r="BN17" s="753">
        <v>10</v>
      </c>
      <c r="BO17" s="754">
        <v>6558</v>
      </c>
      <c r="BP17" s="755">
        <v>20</v>
      </c>
      <c r="BQ17" s="753">
        <v>892</v>
      </c>
      <c r="BR17" s="753">
        <v>35</v>
      </c>
      <c r="BS17" s="753">
        <v>480</v>
      </c>
      <c r="BT17" s="753">
        <v>145</v>
      </c>
      <c r="BU17" s="754"/>
      <c r="BV17" s="756"/>
      <c r="BW17" s="757">
        <v>2</v>
      </c>
      <c r="BX17" s="757">
        <v>10</v>
      </c>
      <c r="BY17" s="757"/>
      <c r="BZ17" s="757"/>
      <c r="CA17" s="758"/>
      <c r="CB17" s="752">
        <v>4</v>
      </c>
      <c r="CC17" s="753">
        <v>16</v>
      </c>
      <c r="CD17" s="753">
        <v>54</v>
      </c>
      <c r="CE17" s="753"/>
      <c r="CF17" s="753">
        <v>1111</v>
      </c>
      <c r="CG17" s="754"/>
      <c r="CH17" s="752">
        <v>3</v>
      </c>
      <c r="CI17" s="753">
        <v>37</v>
      </c>
      <c r="CJ17" s="753">
        <v>65</v>
      </c>
      <c r="CK17" s="753"/>
      <c r="CL17" s="753">
        <v>13</v>
      </c>
      <c r="CM17" s="754">
        <v>9</v>
      </c>
      <c r="CN17" s="752">
        <v>9</v>
      </c>
      <c r="CO17" s="753">
        <v>17</v>
      </c>
      <c r="CP17" s="753"/>
      <c r="CQ17" s="753"/>
      <c r="CR17" s="753"/>
      <c r="CS17" s="754"/>
      <c r="CT17" s="752">
        <v>2</v>
      </c>
      <c r="CU17" s="753">
        <v>493</v>
      </c>
      <c r="CV17" s="753">
        <v>263</v>
      </c>
      <c r="CW17" s="753"/>
      <c r="CX17" s="753">
        <v>465</v>
      </c>
      <c r="CY17" s="754">
        <v>4</v>
      </c>
      <c r="CZ17" s="752">
        <v>6</v>
      </c>
      <c r="DA17" s="753">
        <v>80</v>
      </c>
      <c r="DB17" s="753">
        <v>232</v>
      </c>
      <c r="DC17" s="753"/>
      <c r="DD17" s="753">
        <v>205</v>
      </c>
      <c r="DE17" s="754"/>
      <c r="DF17" s="759"/>
      <c r="DG17" s="760"/>
      <c r="DH17" s="760"/>
      <c r="DI17" s="760"/>
      <c r="DJ17" s="760"/>
      <c r="DK17" s="761"/>
      <c r="DL17" s="762">
        <v>34</v>
      </c>
      <c r="DM17" s="763">
        <v>29</v>
      </c>
      <c r="DN17" s="763">
        <v>2</v>
      </c>
      <c r="DO17" s="763">
        <v>3297</v>
      </c>
      <c r="DP17" s="763">
        <v>7</v>
      </c>
      <c r="DQ17" s="686">
        <v>2411</v>
      </c>
      <c r="DR17" s="764">
        <v>13</v>
      </c>
      <c r="DS17" s="765">
        <v>132</v>
      </c>
      <c r="DT17" s="765">
        <v>3</v>
      </c>
      <c r="DU17" s="765"/>
      <c r="DV17" s="765">
        <v>515</v>
      </c>
      <c r="DW17" s="766"/>
      <c r="DX17" s="767"/>
      <c r="DY17" s="768">
        <v>201</v>
      </c>
      <c r="DZ17" s="768"/>
      <c r="EA17" s="768">
        <v>13</v>
      </c>
      <c r="EB17" s="717">
        <v>1896</v>
      </c>
      <c r="EC17" s="769">
        <v>1</v>
      </c>
      <c r="ED17" s="752"/>
      <c r="EE17" s="753">
        <v>38</v>
      </c>
      <c r="EF17" s="753">
        <v>3</v>
      </c>
      <c r="EG17" s="753"/>
      <c r="EH17" s="753"/>
      <c r="EI17" s="770">
        <v>1</v>
      </c>
      <c r="EJ17" s="771"/>
      <c r="EK17" s="772"/>
      <c r="EL17" s="772"/>
      <c r="EM17" s="772"/>
      <c r="EN17" s="772"/>
      <c r="EO17" s="773"/>
      <c r="EP17" s="752">
        <v>5685</v>
      </c>
      <c r="EQ17" s="753">
        <v>207438</v>
      </c>
      <c r="ER17" s="753">
        <v>199792</v>
      </c>
      <c r="ES17" s="753">
        <v>14450</v>
      </c>
      <c r="ET17" s="772">
        <v>0</v>
      </c>
      <c r="EU17" s="773">
        <v>0</v>
      </c>
      <c r="EV17" s="771"/>
      <c r="EW17" s="772"/>
      <c r="EX17" s="774"/>
      <c r="EY17" s="774"/>
      <c r="EZ17" s="774"/>
      <c r="FA17" s="775"/>
    </row>
    <row r="18" spans="1:157" ht="17.25" x14ac:dyDescent="0.35">
      <c r="A18" s="784" t="s">
        <v>154</v>
      </c>
      <c r="B18" s="776">
        <v>2</v>
      </c>
      <c r="C18" s="777">
        <v>179</v>
      </c>
      <c r="D18" s="777"/>
      <c r="E18" s="777">
        <v>165</v>
      </c>
      <c r="F18" s="777"/>
      <c r="G18" s="778">
        <v>1568</v>
      </c>
      <c r="H18" s="771"/>
      <c r="I18" s="772"/>
      <c r="J18" s="772">
        <v>4</v>
      </c>
      <c r="K18" s="772"/>
      <c r="L18" s="772">
        <v>16</v>
      </c>
      <c r="M18" s="779"/>
      <c r="N18" s="771"/>
      <c r="O18" s="772">
        <v>1</v>
      </c>
      <c r="P18" s="772">
        <v>2</v>
      </c>
      <c r="Q18" s="772">
        <v>414</v>
      </c>
      <c r="R18" s="772"/>
      <c r="S18" s="779"/>
      <c r="T18" s="780">
        <v>1</v>
      </c>
      <c r="U18" s="772"/>
      <c r="V18" s="772"/>
      <c r="W18" s="772"/>
      <c r="X18" s="772"/>
      <c r="Y18" s="779">
        <v>1</v>
      </c>
      <c r="Z18" s="780">
        <v>1</v>
      </c>
      <c r="AA18" s="772">
        <v>88</v>
      </c>
      <c r="AB18" s="772"/>
      <c r="AC18" s="772">
        <v>118</v>
      </c>
      <c r="AD18" s="772"/>
      <c r="AE18" s="779"/>
      <c r="AF18" s="780">
        <v>3</v>
      </c>
      <c r="AG18" s="772">
        <v>6</v>
      </c>
      <c r="AH18" s="772"/>
      <c r="AI18" s="772">
        <v>46</v>
      </c>
      <c r="AJ18" s="772">
        <v>2</v>
      </c>
      <c r="AK18" s="779">
        <v>107</v>
      </c>
      <c r="AL18" s="780"/>
      <c r="AM18" s="772"/>
      <c r="AN18" s="772">
        <v>50</v>
      </c>
      <c r="AO18" s="772"/>
      <c r="AP18" s="772">
        <v>12</v>
      </c>
      <c r="AQ18" s="779"/>
      <c r="AR18" s="780"/>
      <c r="AS18" s="772"/>
      <c r="AT18" s="772">
        <v>57</v>
      </c>
      <c r="AU18" s="772">
        <v>23</v>
      </c>
      <c r="AV18" s="772">
        <v>138</v>
      </c>
      <c r="AW18" s="779"/>
      <c r="AX18" s="780"/>
      <c r="AY18" s="772">
        <v>3</v>
      </c>
      <c r="AZ18" s="772"/>
      <c r="BA18" s="772"/>
      <c r="BB18" s="772">
        <v>4</v>
      </c>
      <c r="BC18" s="779">
        <v>4</v>
      </c>
      <c r="BD18" s="780">
        <v>2</v>
      </c>
      <c r="BE18" s="772">
        <v>320</v>
      </c>
      <c r="BF18" s="772">
        <v>1</v>
      </c>
      <c r="BG18" s="772">
        <v>652</v>
      </c>
      <c r="BH18" s="772"/>
      <c r="BI18" s="779"/>
      <c r="BJ18" s="780">
        <v>427</v>
      </c>
      <c r="BK18" s="772">
        <v>9338</v>
      </c>
      <c r="BL18" s="772">
        <v>511</v>
      </c>
      <c r="BM18" s="772">
        <v>1107</v>
      </c>
      <c r="BN18" s="772">
        <v>21</v>
      </c>
      <c r="BO18" s="779">
        <v>18549</v>
      </c>
      <c r="BP18" s="780">
        <v>7</v>
      </c>
      <c r="BQ18" s="772">
        <v>1932</v>
      </c>
      <c r="BR18" s="772">
        <v>15</v>
      </c>
      <c r="BS18" s="772">
        <v>3719</v>
      </c>
      <c r="BT18" s="772">
        <v>199</v>
      </c>
      <c r="BU18" s="779"/>
      <c r="BV18" s="756"/>
      <c r="BW18" s="757">
        <v>2</v>
      </c>
      <c r="BX18" s="757">
        <v>2</v>
      </c>
      <c r="BY18" s="757"/>
      <c r="BZ18" s="757"/>
      <c r="CA18" s="758"/>
      <c r="CB18" s="771">
        <v>2</v>
      </c>
      <c r="CC18" s="772">
        <v>18</v>
      </c>
      <c r="CD18" s="772">
        <v>33</v>
      </c>
      <c r="CE18" s="772"/>
      <c r="CF18" s="772">
        <v>3138</v>
      </c>
      <c r="CG18" s="779"/>
      <c r="CH18" s="781">
        <v>3</v>
      </c>
      <c r="CI18" s="782">
        <v>5</v>
      </c>
      <c r="CJ18" s="782">
        <v>2</v>
      </c>
      <c r="CK18" s="782"/>
      <c r="CL18" s="782">
        <v>13</v>
      </c>
      <c r="CM18" s="783">
        <v>1</v>
      </c>
      <c r="CN18" s="771"/>
      <c r="CO18" s="772">
        <v>32</v>
      </c>
      <c r="CP18" s="772"/>
      <c r="CQ18" s="772"/>
      <c r="CR18" s="772"/>
      <c r="CS18" s="779"/>
      <c r="CT18" s="771">
        <v>1</v>
      </c>
      <c r="CU18" s="772">
        <v>8</v>
      </c>
      <c r="CV18" s="772">
        <v>231</v>
      </c>
      <c r="CW18" s="772"/>
      <c r="CX18" s="772">
        <v>465</v>
      </c>
      <c r="CY18" s="779">
        <v>2</v>
      </c>
      <c r="CZ18" s="771">
        <v>1</v>
      </c>
      <c r="DA18" s="772">
        <v>315</v>
      </c>
      <c r="DB18" s="772">
        <v>282</v>
      </c>
      <c r="DC18" s="772"/>
      <c r="DD18" s="772">
        <v>323</v>
      </c>
      <c r="DE18" s="779"/>
      <c r="DF18" s="759"/>
      <c r="DG18" s="760"/>
      <c r="DH18" s="760"/>
      <c r="DI18" s="760"/>
      <c r="DJ18" s="760"/>
      <c r="DK18" s="761"/>
      <c r="DL18" s="762">
        <v>11</v>
      </c>
      <c r="DM18" s="763">
        <v>2</v>
      </c>
      <c r="DN18" s="763"/>
      <c r="DO18" s="763">
        <v>67</v>
      </c>
      <c r="DP18" s="763"/>
      <c r="DQ18" s="686"/>
      <c r="DR18" s="764">
        <v>2</v>
      </c>
      <c r="DS18" s="765"/>
      <c r="DT18" s="765"/>
      <c r="DU18" s="765"/>
      <c r="DV18" s="765"/>
      <c r="DW18" s="766"/>
      <c r="DX18" s="767">
        <v>1</v>
      </c>
      <c r="DY18" s="768">
        <v>9</v>
      </c>
      <c r="DZ18" s="768"/>
      <c r="EA18" s="768">
        <v>2</v>
      </c>
      <c r="EB18" s="717">
        <v>697</v>
      </c>
      <c r="EC18" s="769"/>
      <c r="ED18" s="771"/>
      <c r="EE18" s="772"/>
      <c r="EF18" s="772"/>
      <c r="EG18" s="772"/>
      <c r="EH18" s="772"/>
      <c r="EI18" s="773"/>
      <c r="EJ18" s="771"/>
      <c r="EK18" s="772"/>
      <c r="EL18" s="772"/>
      <c r="EM18" s="772"/>
      <c r="EN18" s="772"/>
      <c r="EO18" s="773"/>
      <c r="EP18" s="771">
        <v>184</v>
      </c>
      <c r="EQ18" s="772">
        <v>71923</v>
      </c>
      <c r="ER18" s="772">
        <v>3405</v>
      </c>
      <c r="ES18" s="772">
        <v>13180</v>
      </c>
      <c r="ET18" s="772">
        <v>0</v>
      </c>
      <c r="EU18" s="773">
        <v>0</v>
      </c>
      <c r="EV18" s="771"/>
      <c r="EW18" s="772"/>
      <c r="EX18" s="774"/>
      <c r="EY18" s="774"/>
      <c r="EZ18" s="774"/>
      <c r="FA18" s="775"/>
    </row>
    <row r="19" spans="1:157" ht="18" thickBot="1" x14ac:dyDescent="0.4">
      <c r="A19" s="784" t="s">
        <v>155</v>
      </c>
      <c r="B19" s="785">
        <v>0</v>
      </c>
      <c r="C19" s="786">
        <v>279</v>
      </c>
      <c r="D19" s="786"/>
      <c r="E19" s="786">
        <v>121</v>
      </c>
      <c r="F19" s="786"/>
      <c r="G19" s="787">
        <v>593</v>
      </c>
      <c r="H19" s="788"/>
      <c r="I19" s="789">
        <v>1</v>
      </c>
      <c r="J19" s="789"/>
      <c r="K19" s="789"/>
      <c r="L19" s="789">
        <v>2</v>
      </c>
      <c r="M19" s="790"/>
      <c r="N19" s="788"/>
      <c r="O19" s="789"/>
      <c r="P19" s="789"/>
      <c r="Q19" s="789">
        <v>782</v>
      </c>
      <c r="R19" s="789"/>
      <c r="S19" s="790"/>
      <c r="T19" s="791"/>
      <c r="U19" s="789"/>
      <c r="V19" s="789"/>
      <c r="W19" s="789"/>
      <c r="X19" s="789"/>
      <c r="Y19" s="790"/>
      <c r="Z19" s="791"/>
      <c r="AA19" s="789">
        <v>132</v>
      </c>
      <c r="AB19" s="789"/>
      <c r="AC19" s="789">
        <v>5</v>
      </c>
      <c r="AD19" s="789"/>
      <c r="AE19" s="790"/>
      <c r="AF19" s="791"/>
      <c r="AG19" s="789">
        <v>19</v>
      </c>
      <c r="AH19" s="789"/>
      <c r="AI19" s="789">
        <v>41</v>
      </c>
      <c r="AJ19" s="789"/>
      <c r="AK19" s="790"/>
      <c r="AL19" s="791"/>
      <c r="AM19" s="789"/>
      <c r="AN19" s="789">
        <v>10</v>
      </c>
      <c r="AO19" s="789"/>
      <c r="AP19" s="789">
        <v>57</v>
      </c>
      <c r="AQ19" s="790"/>
      <c r="AR19" s="791"/>
      <c r="AS19" s="789"/>
      <c r="AT19" s="789">
        <v>35</v>
      </c>
      <c r="AU19" s="789">
        <v>16</v>
      </c>
      <c r="AV19" s="789">
        <v>21</v>
      </c>
      <c r="AW19" s="790"/>
      <c r="AX19" s="791"/>
      <c r="AY19" s="789">
        <v>3</v>
      </c>
      <c r="AZ19" s="789"/>
      <c r="BA19" s="789"/>
      <c r="BB19" s="789">
        <v>19</v>
      </c>
      <c r="BC19" s="790"/>
      <c r="BD19" s="791"/>
      <c r="BE19" s="789">
        <v>270</v>
      </c>
      <c r="BF19" s="789"/>
      <c r="BG19" s="789">
        <v>15</v>
      </c>
      <c r="BH19" s="789">
        <v>3630</v>
      </c>
      <c r="BI19" s="790"/>
      <c r="BJ19" s="791">
        <v>17</v>
      </c>
      <c r="BK19" s="789">
        <v>8840</v>
      </c>
      <c r="BL19" s="789">
        <v>796</v>
      </c>
      <c r="BM19" s="789">
        <v>1403</v>
      </c>
      <c r="BN19" s="789">
        <v>51</v>
      </c>
      <c r="BO19" s="790">
        <v>44357</v>
      </c>
      <c r="BP19" s="791">
        <v>16</v>
      </c>
      <c r="BQ19" s="789">
        <v>1040</v>
      </c>
      <c r="BR19" s="789">
        <v>30</v>
      </c>
      <c r="BS19" s="789">
        <v>3151</v>
      </c>
      <c r="BT19" s="789">
        <v>346</v>
      </c>
      <c r="BU19" s="790"/>
      <c r="BV19" s="792"/>
      <c r="BW19" s="793"/>
      <c r="BX19" s="793"/>
      <c r="BY19" s="793"/>
      <c r="BZ19" s="793"/>
      <c r="CA19" s="794"/>
      <c r="CB19" s="788">
        <v>3</v>
      </c>
      <c r="CC19" s="789">
        <v>39</v>
      </c>
      <c r="CD19" s="789"/>
      <c r="CE19" s="789"/>
      <c r="CF19" s="789">
        <v>10531</v>
      </c>
      <c r="CG19" s="790"/>
      <c r="CH19" s="788">
        <v>7</v>
      </c>
      <c r="CI19" s="789"/>
      <c r="CJ19" s="789"/>
      <c r="CK19" s="789">
        <v>1</v>
      </c>
      <c r="CL19" s="789">
        <v>4</v>
      </c>
      <c r="CM19" s="790"/>
      <c r="CN19" s="788"/>
      <c r="CO19" s="789">
        <v>19</v>
      </c>
      <c r="CP19" s="789"/>
      <c r="CQ19" s="789"/>
      <c r="CR19" s="789"/>
      <c r="CS19" s="790"/>
      <c r="CT19" s="788"/>
      <c r="CU19" s="789">
        <v>3</v>
      </c>
      <c r="CV19" s="789"/>
      <c r="CW19" s="789"/>
      <c r="CX19" s="789">
        <v>200</v>
      </c>
      <c r="CY19" s="790"/>
      <c r="CZ19" s="788">
        <v>4</v>
      </c>
      <c r="DA19" s="789">
        <v>157</v>
      </c>
      <c r="DB19" s="789">
        <v>982</v>
      </c>
      <c r="DC19" s="789"/>
      <c r="DD19" s="789">
        <v>15851</v>
      </c>
      <c r="DE19" s="790"/>
      <c r="DF19" s="795"/>
      <c r="DG19" s="796"/>
      <c r="DH19" s="796"/>
      <c r="DI19" s="796"/>
      <c r="DJ19" s="796"/>
      <c r="DK19" s="797"/>
      <c r="DL19" s="798">
        <v>41</v>
      </c>
      <c r="DM19" s="799"/>
      <c r="DN19" s="799"/>
      <c r="DO19" s="799">
        <v>36</v>
      </c>
      <c r="DP19" s="799"/>
      <c r="DQ19" s="800"/>
      <c r="DR19" s="801">
        <v>20</v>
      </c>
      <c r="DS19" s="802"/>
      <c r="DT19" s="802"/>
      <c r="DU19" s="802"/>
      <c r="DV19" s="802"/>
      <c r="DW19" s="803"/>
      <c r="DX19" s="804">
        <v>1</v>
      </c>
      <c r="DY19" s="805"/>
      <c r="DZ19" s="805"/>
      <c r="EA19" s="805"/>
      <c r="EB19" s="805">
        <v>5156</v>
      </c>
      <c r="EC19" s="806"/>
      <c r="ED19" s="788"/>
      <c r="EE19" s="789"/>
      <c r="EF19" s="789"/>
      <c r="EG19" s="789"/>
      <c r="EH19" s="789"/>
      <c r="EI19" s="807"/>
      <c r="EJ19" s="808"/>
      <c r="EK19" s="809"/>
      <c r="EL19" s="809"/>
      <c r="EM19" s="809"/>
      <c r="EN19" s="809"/>
      <c r="EO19" s="810"/>
      <c r="EP19" s="804">
        <v>79</v>
      </c>
      <c r="EQ19" s="805">
        <v>33413</v>
      </c>
      <c r="ER19" s="805">
        <v>1490</v>
      </c>
      <c r="ES19" s="805">
        <v>55533</v>
      </c>
      <c r="ET19" s="772">
        <v>0</v>
      </c>
      <c r="EU19" s="773">
        <v>0</v>
      </c>
      <c r="EV19" s="808"/>
      <c r="EW19" s="809"/>
      <c r="EX19" s="811"/>
      <c r="EY19" s="811"/>
      <c r="EZ19" s="811"/>
      <c r="FA19" s="812"/>
    </row>
  </sheetData>
  <mergeCells count="29">
    <mergeCell ref="A1:EW1"/>
    <mergeCell ref="A2:EW2"/>
    <mergeCell ref="A3:A4"/>
    <mergeCell ref="B3:G3"/>
    <mergeCell ref="H3:M3"/>
    <mergeCell ref="N3:S3"/>
    <mergeCell ref="T3:Y3"/>
    <mergeCell ref="Z3:AE3"/>
    <mergeCell ref="AF3:AK3"/>
    <mergeCell ref="AL3:AQ3"/>
    <mergeCell ref="DF3:DK3"/>
    <mergeCell ref="AR3:AW3"/>
    <mergeCell ref="AX3:BC3"/>
    <mergeCell ref="BD3:BI3"/>
    <mergeCell ref="BJ3:BO3"/>
    <mergeCell ref="BP3:BU3"/>
    <mergeCell ref="BV3:CA3"/>
    <mergeCell ref="CB3:CG3"/>
    <mergeCell ref="CH3:CM3"/>
    <mergeCell ref="CN3:CS3"/>
    <mergeCell ref="CT3:CY3"/>
    <mergeCell ref="CZ3:DE3"/>
    <mergeCell ref="EV3:FA3"/>
    <mergeCell ref="DL3:DQ3"/>
    <mergeCell ref="DR3:DW3"/>
    <mergeCell ref="DX3:EC3"/>
    <mergeCell ref="ED3:EI3"/>
    <mergeCell ref="EJ3:EO3"/>
    <mergeCell ref="EP3:EU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3"/>
  <sheetViews>
    <sheetView workbookViewId="0">
      <pane xSplit="1" topLeftCell="AQ1" activePane="topRight" state="frozen"/>
      <selection pane="topRight" activeCell="AX3" sqref="AX3:AY3"/>
    </sheetView>
  </sheetViews>
  <sheetFormatPr defaultRowHeight="14.25" x14ac:dyDescent="0.3"/>
  <cols>
    <col min="1" max="1" width="65.42578125" style="842" customWidth="1"/>
    <col min="2" max="3" width="11.5703125" style="842" customWidth="1"/>
    <col min="4" max="4" width="11.5703125" style="75" bestFit="1" customWidth="1"/>
    <col min="5" max="5" width="11.28515625" style="75" customWidth="1"/>
    <col min="6" max="6" width="10" style="842" bestFit="1" customWidth="1"/>
    <col min="7" max="7" width="10.140625" style="842" customWidth="1"/>
    <col min="8" max="8" width="10" style="842" bestFit="1" customWidth="1"/>
    <col min="9" max="9" width="10.5703125" style="842" customWidth="1"/>
    <col min="10" max="10" width="10.28515625" style="842" customWidth="1"/>
    <col min="11" max="11" width="10.140625" style="842" customWidth="1"/>
    <col min="12" max="12" width="10" style="842" bestFit="1" customWidth="1"/>
    <col min="13" max="13" width="11.28515625" style="842" customWidth="1"/>
    <col min="14" max="15" width="10.140625" style="842" customWidth="1"/>
    <col min="16" max="17" width="11" style="842" customWidth="1"/>
    <col min="18" max="19" width="11.5703125" style="842" customWidth="1"/>
    <col min="20" max="20" width="9.28515625" style="842" bestFit="1" customWidth="1"/>
    <col min="21" max="21" width="9.28515625" style="842" customWidth="1"/>
    <col min="22" max="22" width="11.28515625" style="842" customWidth="1"/>
    <col min="23" max="23" width="12" style="842" customWidth="1"/>
    <col min="24" max="25" width="11.7109375" style="842" customWidth="1"/>
    <col min="26" max="26" width="11.7109375" style="75" customWidth="1"/>
    <col min="27" max="27" width="11.28515625" style="75" customWidth="1"/>
    <col min="28" max="28" width="10.5703125" style="842" customWidth="1"/>
    <col min="29" max="29" width="10.28515625" style="842" customWidth="1"/>
    <col min="30" max="31" width="12" style="842" customWidth="1"/>
    <col min="32" max="32" width="11.28515625" style="842" customWidth="1"/>
    <col min="33" max="34" width="10.85546875" style="842" customWidth="1"/>
    <col min="35" max="36" width="10.42578125" style="842" customWidth="1"/>
    <col min="37" max="37" width="10.5703125" style="842" customWidth="1"/>
    <col min="38" max="39" width="9.140625" style="842"/>
    <col min="40" max="40" width="12.7109375" style="842" customWidth="1"/>
    <col min="41" max="41" width="12.85546875" style="842" customWidth="1"/>
    <col min="42" max="42" width="9.28515625" style="842" bestFit="1" customWidth="1"/>
    <col min="43" max="43" width="9.28515625" style="842" customWidth="1"/>
    <col min="44" max="44" width="11" style="842" customWidth="1"/>
    <col min="45" max="45" width="10.42578125" style="842" customWidth="1"/>
    <col min="46" max="46" width="11.5703125" style="842" customWidth="1"/>
    <col min="47" max="47" width="11.42578125" style="842" customWidth="1"/>
    <col min="48" max="48" width="12.5703125" style="842" customWidth="1"/>
    <col min="49" max="49" width="11.85546875" style="842" customWidth="1"/>
    <col min="50" max="50" width="12" style="842" customWidth="1"/>
    <col min="51" max="51" width="11.7109375" style="842" customWidth="1"/>
    <col min="52" max="52" width="13.140625" style="842" customWidth="1"/>
    <col min="53" max="53" width="12.42578125" style="842" customWidth="1"/>
    <col min="54" max="54" width="9.5703125" style="842" bestFit="1" customWidth="1"/>
    <col min="55" max="16384" width="9.140625" style="843"/>
  </cols>
  <sheetData>
    <row r="1" spans="1:54" x14ac:dyDescent="0.3">
      <c r="A1" s="1343" t="s">
        <v>193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3"/>
      <c r="T1" s="1343"/>
      <c r="U1" s="1343"/>
      <c r="V1" s="1343"/>
      <c r="W1" s="1343"/>
      <c r="X1" s="1343"/>
      <c r="Y1" s="1343"/>
      <c r="Z1" s="1343"/>
      <c r="AA1" s="1343"/>
      <c r="AB1" s="1343"/>
      <c r="AC1" s="1343"/>
      <c r="AD1" s="1343"/>
      <c r="AE1" s="1343"/>
      <c r="AF1" s="1343"/>
      <c r="AG1" s="1343"/>
      <c r="AH1" s="1343"/>
      <c r="AI1" s="1343"/>
      <c r="AJ1" s="1343"/>
      <c r="AK1" s="1343"/>
      <c r="AL1" s="1343"/>
      <c r="AM1" s="1343"/>
      <c r="AN1" s="1343"/>
      <c r="AO1" s="1343"/>
      <c r="AP1" s="1343"/>
      <c r="AQ1" s="1343"/>
      <c r="AR1" s="1343"/>
      <c r="AS1" s="1343"/>
      <c r="AT1" s="1343"/>
      <c r="AU1" s="1343"/>
      <c r="AV1" s="1343"/>
      <c r="AW1" s="1343"/>
      <c r="AX1" s="1343"/>
      <c r="AY1" s="1343"/>
      <c r="AZ1" s="1343"/>
      <c r="BA1" s="1343"/>
    </row>
    <row r="2" spans="1:54" ht="15" thickBot="1" x14ac:dyDescent="0.35">
      <c r="A2" s="1344" t="s">
        <v>194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4"/>
      <c r="Z2" s="1344"/>
      <c r="AA2" s="1344"/>
      <c r="AB2" s="1344"/>
      <c r="AC2" s="1344"/>
      <c r="AD2" s="1344"/>
      <c r="AE2" s="1344"/>
      <c r="AF2" s="1344"/>
      <c r="AG2" s="1344"/>
      <c r="AH2" s="1344"/>
      <c r="AI2" s="1344"/>
      <c r="AJ2" s="1344"/>
      <c r="AK2" s="1344"/>
      <c r="AL2" s="1344"/>
      <c r="AM2" s="1344"/>
      <c r="AN2" s="1344"/>
      <c r="AO2" s="1344"/>
      <c r="AP2" s="1344"/>
      <c r="AQ2" s="1344"/>
      <c r="AR2" s="1344"/>
      <c r="AS2" s="1344"/>
      <c r="AT2" s="1344"/>
      <c r="AU2" s="1344"/>
      <c r="AV2" s="1344"/>
      <c r="AW2" s="1344"/>
      <c r="AX2" s="1344"/>
      <c r="AY2" s="1344"/>
      <c r="AZ2" s="1344"/>
      <c r="BA2" s="1344"/>
    </row>
    <row r="3" spans="1:54" ht="38.25" customHeight="1" x14ac:dyDescent="0.3">
      <c r="A3" s="1365" t="s">
        <v>1</v>
      </c>
      <c r="B3" s="1367" t="s">
        <v>258</v>
      </c>
      <c r="C3" s="1368"/>
      <c r="D3" s="1354" t="s">
        <v>259</v>
      </c>
      <c r="E3" s="1355"/>
      <c r="F3" s="1354" t="s">
        <v>260</v>
      </c>
      <c r="G3" s="1355"/>
      <c r="H3" s="1354" t="s">
        <v>261</v>
      </c>
      <c r="I3" s="1355"/>
      <c r="J3" s="1354" t="s">
        <v>262</v>
      </c>
      <c r="K3" s="1355"/>
      <c r="L3" s="1354" t="s">
        <v>263</v>
      </c>
      <c r="M3" s="1355"/>
      <c r="N3" s="1354" t="s">
        <v>264</v>
      </c>
      <c r="O3" s="1355"/>
      <c r="P3" s="1354" t="s">
        <v>265</v>
      </c>
      <c r="Q3" s="1355"/>
      <c r="R3" s="1354" t="s">
        <v>266</v>
      </c>
      <c r="S3" s="1355"/>
      <c r="T3" s="1354" t="s">
        <v>267</v>
      </c>
      <c r="U3" s="1355"/>
      <c r="V3" s="1354" t="s">
        <v>268</v>
      </c>
      <c r="W3" s="1355"/>
      <c r="X3" s="1354" t="s">
        <v>269</v>
      </c>
      <c r="Y3" s="1355"/>
      <c r="Z3" s="1354" t="s">
        <v>270</v>
      </c>
      <c r="AA3" s="1355"/>
      <c r="AB3" s="1354" t="s">
        <v>271</v>
      </c>
      <c r="AC3" s="1355"/>
      <c r="AD3" s="1363" t="s">
        <v>272</v>
      </c>
      <c r="AE3" s="1364"/>
      <c r="AF3" s="1354" t="s">
        <v>273</v>
      </c>
      <c r="AG3" s="1355"/>
      <c r="AH3" s="1354" t="s">
        <v>274</v>
      </c>
      <c r="AI3" s="1355"/>
      <c r="AJ3" s="1354" t="s">
        <v>275</v>
      </c>
      <c r="AK3" s="1355"/>
      <c r="AL3" s="1363" t="s">
        <v>276</v>
      </c>
      <c r="AM3" s="1364"/>
      <c r="AN3" s="1354" t="s">
        <v>277</v>
      </c>
      <c r="AO3" s="1355"/>
      <c r="AP3" s="1354" t="s">
        <v>278</v>
      </c>
      <c r="AQ3" s="1355"/>
      <c r="AR3" s="1354" t="s">
        <v>279</v>
      </c>
      <c r="AS3" s="1355"/>
      <c r="AT3" s="1354" t="s">
        <v>280</v>
      </c>
      <c r="AU3" s="1355"/>
      <c r="AV3" s="1354" t="s">
        <v>2</v>
      </c>
      <c r="AW3" s="1355"/>
      <c r="AX3" s="1361" t="s">
        <v>281</v>
      </c>
      <c r="AY3" s="1362"/>
      <c r="AZ3" s="1361" t="s">
        <v>3</v>
      </c>
      <c r="BA3" s="1362"/>
    </row>
    <row r="4" spans="1:54" s="951" customFormat="1" ht="27.75" customHeight="1" x14ac:dyDescent="0.25">
      <c r="A4" s="1366"/>
      <c r="B4" s="948" t="s">
        <v>251</v>
      </c>
      <c r="C4" s="949" t="s">
        <v>252</v>
      </c>
      <c r="D4" s="947" t="s">
        <v>251</v>
      </c>
      <c r="E4" s="947" t="s">
        <v>252</v>
      </c>
      <c r="F4" s="947" t="s">
        <v>251</v>
      </c>
      <c r="G4" s="947" t="s">
        <v>252</v>
      </c>
      <c r="H4" s="947" t="s">
        <v>251</v>
      </c>
      <c r="I4" s="947" t="s">
        <v>252</v>
      </c>
      <c r="J4" s="947" t="s">
        <v>251</v>
      </c>
      <c r="K4" s="947" t="s">
        <v>252</v>
      </c>
      <c r="L4" s="947" t="s">
        <v>251</v>
      </c>
      <c r="M4" s="947" t="s">
        <v>252</v>
      </c>
      <c r="N4" s="947" t="s">
        <v>251</v>
      </c>
      <c r="O4" s="947" t="s">
        <v>252</v>
      </c>
      <c r="P4" s="947" t="s">
        <v>251</v>
      </c>
      <c r="Q4" s="947" t="s">
        <v>252</v>
      </c>
      <c r="R4" s="947" t="s">
        <v>251</v>
      </c>
      <c r="S4" s="947" t="s">
        <v>252</v>
      </c>
      <c r="T4" s="947" t="s">
        <v>251</v>
      </c>
      <c r="U4" s="947" t="s">
        <v>252</v>
      </c>
      <c r="V4" s="947" t="s">
        <v>251</v>
      </c>
      <c r="W4" s="947" t="s">
        <v>252</v>
      </c>
      <c r="X4" s="947" t="s">
        <v>251</v>
      </c>
      <c r="Y4" s="947" t="s">
        <v>252</v>
      </c>
      <c r="Z4" s="947" t="s">
        <v>251</v>
      </c>
      <c r="AA4" s="947" t="s">
        <v>252</v>
      </c>
      <c r="AB4" s="947" t="s">
        <v>251</v>
      </c>
      <c r="AC4" s="947" t="s">
        <v>252</v>
      </c>
      <c r="AD4" s="947" t="s">
        <v>251</v>
      </c>
      <c r="AE4" s="947" t="s">
        <v>252</v>
      </c>
      <c r="AF4" s="947" t="s">
        <v>251</v>
      </c>
      <c r="AG4" s="947" t="s">
        <v>252</v>
      </c>
      <c r="AH4" s="947" t="s">
        <v>251</v>
      </c>
      <c r="AI4" s="947" t="s">
        <v>252</v>
      </c>
      <c r="AJ4" s="947" t="s">
        <v>251</v>
      </c>
      <c r="AK4" s="947" t="s">
        <v>252</v>
      </c>
      <c r="AL4" s="947" t="s">
        <v>251</v>
      </c>
      <c r="AM4" s="947" t="s">
        <v>252</v>
      </c>
      <c r="AN4" s="947" t="s">
        <v>251</v>
      </c>
      <c r="AO4" s="947" t="s">
        <v>252</v>
      </c>
      <c r="AP4" s="947" t="s">
        <v>251</v>
      </c>
      <c r="AQ4" s="947" t="s">
        <v>252</v>
      </c>
      <c r="AR4" s="947" t="s">
        <v>251</v>
      </c>
      <c r="AS4" s="947" t="s">
        <v>252</v>
      </c>
      <c r="AT4" s="947" t="s">
        <v>251</v>
      </c>
      <c r="AU4" s="947" t="s">
        <v>252</v>
      </c>
      <c r="AV4" s="947" t="s">
        <v>251</v>
      </c>
      <c r="AW4" s="947" t="s">
        <v>252</v>
      </c>
      <c r="AX4" s="947" t="s">
        <v>251</v>
      </c>
      <c r="AY4" s="947" t="s">
        <v>252</v>
      </c>
      <c r="AZ4" s="947" t="s">
        <v>251</v>
      </c>
      <c r="BA4" s="947" t="s">
        <v>252</v>
      </c>
      <c r="BB4" s="950"/>
    </row>
    <row r="5" spans="1:54" ht="15" customHeight="1" x14ac:dyDescent="0.3">
      <c r="A5" s="1074" t="s">
        <v>195</v>
      </c>
      <c r="B5" s="1067"/>
      <c r="C5" s="1068"/>
      <c r="D5" s="37"/>
      <c r="E5" s="38"/>
      <c r="F5" s="845"/>
      <c r="G5" s="846"/>
      <c r="H5" s="845"/>
      <c r="I5" s="846"/>
      <c r="J5" s="845"/>
      <c r="K5" s="846"/>
      <c r="L5" s="845"/>
      <c r="M5" s="846"/>
      <c r="N5" s="845"/>
      <c r="O5" s="846"/>
      <c r="P5" s="845"/>
      <c r="Q5" s="846"/>
      <c r="R5" s="845"/>
      <c r="S5" s="846"/>
      <c r="T5" s="845"/>
      <c r="U5" s="846"/>
      <c r="V5" s="845"/>
      <c r="W5" s="846"/>
      <c r="X5" s="845"/>
      <c r="Y5" s="846"/>
      <c r="Z5" s="37"/>
      <c r="AA5" s="38"/>
      <c r="AB5" s="845"/>
      <c r="AC5" s="846"/>
      <c r="AD5" s="845"/>
      <c r="AE5" s="846"/>
      <c r="AF5" s="845"/>
      <c r="AG5" s="846"/>
      <c r="AH5" s="845"/>
      <c r="AI5" s="846"/>
      <c r="AJ5" s="845"/>
      <c r="AK5" s="846"/>
      <c r="AL5" s="845"/>
      <c r="AM5" s="846"/>
      <c r="AN5" s="47"/>
      <c r="AO5" s="48"/>
      <c r="AP5" s="845"/>
      <c r="AQ5" s="846"/>
      <c r="AR5" s="845"/>
      <c r="AS5" s="846"/>
      <c r="AT5" s="845"/>
      <c r="AU5" s="846"/>
      <c r="AV5" s="845"/>
      <c r="AW5" s="845"/>
      <c r="AX5" s="845"/>
      <c r="AY5" s="846"/>
      <c r="AZ5" s="845"/>
      <c r="BA5" s="845"/>
    </row>
    <row r="6" spans="1:54" x14ac:dyDescent="0.3">
      <c r="A6" s="1074" t="s">
        <v>196</v>
      </c>
      <c r="B6" s="1069"/>
      <c r="C6" s="1070"/>
      <c r="D6" s="47"/>
      <c r="E6" s="48"/>
      <c r="F6" s="848"/>
      <c r="G6" s="849"/>
      <c r="H6" s="848"/>
      <c r="I6" s="849"/>
      <c r="J6" s="848"/>
      <c r="K6" s="849"/>
      <c r="L6" s="848"/>
      <c r="M6" s="849"/>
      <c r="N6" s="848"/>
      <c r="O6" s="849"/>
      <c r="P6" s="848"/>
      <c r="Q6" s="849"/>
      <c r="R6" s="848"/>
      <c r="S6" s="849"/>
      <c r="T6" s="848"/>
      <c r="U6" s="849"/>
      <c r="V6" s="848"/>
      <c r="W6" s="849"/>
      <c r="X6" s="848"/>
      <c r="Y6" s="849"/>
      <c r="Z6" s="50"/>
      <c r="AA6" s="52"/>
      <c r="AB6" s="848"/>
      <c r="AC6" s="849"/>
      <c r="AD6" s="848"/>
      <c r="AE6" s="849"/>
      <c r="AF6" s="848"/>
      <c r="AG6" s="849"/>
      <c r="AH6" s="848"/>
      <c r="AI6" s="849"/>
      <c r="AJ6" s="848"/>
      <c r="AK6" s="849"/>
      <c r="AL6" s="850"/>
      <c r="AM6" s="851"/>
      <c r="AN6" s="47"/>
      <c r="AO6" s="48"/>
      <c r="AP6" s="852"/>
      <c r="AQ6" s="853"/>
      <c r="AR6" s="854"/>
      <c r="AS6" s="855"/>
      <c r="AT6" s="848"/>
      <c r="AU6" s="849"/>
      <c r="AV6" s="845"/>
      <c r="AW6" s="845"/>
      <c r="AX6" s="854"/>
      <c r="AY6" s="855"/>
      <c r="AZ6" s="845"/>
      <c r="BA6" s="845"/>
    </row>
    <row r="7" spans="1:54" x14ac:dyDescent="0.3">
      <c r="A7" s="1075" t="s">
        <v>197</v>
      </c>
      <c r="B7" s="1069">
        <v>19012080</v>
      </c>
      <c r="C7" s="1070">
        <f>B7</f>
        <v>19012080</v>
      </c>
      <c r="D7" s="47">
        <v>14549459</v>
      </c>
      <c r="E7" s="48">
        <v>14358439</v>
      </c>
      <c r="F7" s="848">
        <v>20049000</v>
      </c>
      <c r="G7" s="849">
        <v>20049000</v>
      </c>
      <c r="H7" s="848">
        <v>1507090</v>
      </c>
      <c r="I7" s="849">
        <v>1507090</v>
      </c>
      <c r="J7" s="848">
        <v>25062010</v>
      </c>
      <c r="K7" s="849">
        <v>24062010</v>
      </c>
      <c r="L7" s="848">
        <v>9500000</v>
      </c>
      <c r="M7" s="849">
        <v>9500000</v>
      </c>
      <c r="N7" s="848">
        <v>3740619</v>
      </c>
      <c r="O7" s="849">
        <v>3740619</v>
      </c>
      <c r="P7" s="848">
        <v>3126209</v>
      </c>
      <c r="Q7" s="849">
        <v>3126209</v>
      </c>
      <c r="R7" s="848">
        <v>18500000</v>
      </c>
      <c r="S7" s="849">
        <v>17500000</v>
      </c>
      <c r="T7" s="848">
        <v>17928206</v>
      </c>
      <c r="U7" s="849">
        <v>16828206</v>
      </c>
      <c r="V7" s="848">
        <v>20172567</v>
      </c>
      <c r="W7" s="849">
        <v>20089732</v>
      </c>
      <c r="X7" s="848">
        <v>14357845</v>
      </c>
      <c r="Y7" s="849">
        <v>14354680</v>
      </c>
      <c r="Z7" s="50">
        <v>8000000</v>
      </c>
      <c r="AA7" s="52">
        <v>8000000</v>
      </c>
      <c r="AB7" s="848">
        <v>6250000</v>
      </c>
      <c r="AC7" s="849">
        <v>6250000</v>
      </c>
      <c r="AD7" s="848">
        <v>5102902</v>
      </c>
      <c r="AE7" s="849">
        <v>5102902</v>
      </c>
      <c r="AF7" s="848">
        <v>19188129</v>
      </c>
      <c r="AG7" s="849">
        <v>19188129</v>
      </c>
      <c r="AH7" s="848">
        <v>20128843</v>
      </c>
      <c r="AI7" s="849">
        <v>20128843</v>
      </c>
      <c r="AJ7" s="848">
        <v>11963235</v>
      </c>
      <c r="AK7" s="849">
        <v>11963235</v>
      </c>
      <c r="AL7" s="850"/>
      <c r="AM7" s="851"/>
      <c r="AN7" s="685">
        <v>10000000</v>
      </c>
      <c r="AO7" s="686">
        <v>10000000</v>
      </c>
      <c r="AP7" s="852">
        <v>1751843</v>
      </c>
      <c r="AQ7" s="853">
        <v>1750934</v>
      </c>
      <c r="AR7" s="854">
        <v>2589641</v>
      </c>
      <c r="AS7" s="855">
        <v>2589641</v>
      </c>
      <c r="AT7" s="848">
        <v>19535000</v>
      </c>
      <c r="AU7" s="849">
        <v>19535000</v>
      </c>
      <c r="AV7" s="845">
        <f t="shared" ref="AV7:AW48" si="0">SUM(B7+D7+F7+H7+J7+L7+N7+P7+R7+T7+V7+X7+Z7+AB7+AD7+AF7+AH7+AJ7+AL7+AN7+AP7+AR7+AT7)</f>
        <v>272014678</v>
      </c>
      <c r="AW7" s="845">
        <f t="shared" si="0"/>
        <v>268636749</v>
      </c>
      <c r="AX7" s="854">
        <v>1000000</v>
      </c>
      <c r="AY7" s="855">
        <v>1000000</v>
      </c>
      <c r="AZ7" s="845">
        <f t="shared" ref="AZ7:BA48" si="1">AV7+AX7</f>
        <v>273014678</v>
      </c>
      <c r="BA7" s="845">
        <f t="shared" si="1"/>
        <v>269636749</v>
      </c>
    </row>
    <row r="8" spans="1:54" x14ac:dyDescent="0.3">
      <c r="A8" s="1075" t="s">
        <v>198</v>
      </c>
      <c r="B8" s="1069">
        <v>2682948</v>
      </c>
      <c r="C8" s="1070">
        <v>2682948</v>
      </c>
      <c r="D8" s="47">
        <v>5506905</v>
      </c>
      <c r="E8" s="48">
        <v>4040505</v>
      </c>
      <c r="F8" s="848"/>
      <c r="G8" s="849"/>
      <c r="H8" s="848">
        <v>93194215</v>
      </c>
      <c r="I8" s="849">
        <v>88697340</v>
      </c>
      <c r="J8" s="848">
        <v>2074442</v>
      </c>
      <c r="K8" s="849">
        <v>2074442</v>
      </c>
      <c r="L8" s="848">
        <v>1250000</v>
      </c>
      <c r="M8" s="849">
        <v>1250000</v>
      </c>
      <c r="N8" s="848">
        <v>8329217</v>
      </c>
      <c r="O8" s="849">
        <v>8329217</v>
      </c>
      <c r="P8" s="848">
        <v>16848478</v>
      </c>
      <c r="Q8" s="849">
        <v>16848478</v>
      </c>
      <c r="R8" s="848"/>
      <c r="S8" s="849"/>
      <c r="T8" s="848"/>
      <c r="U8" s="849"/>
      <c r="V8" s="848">
        <v>36720722</v>
      </c>
      <c r="W8" s="849">
        <v>23372526</v>
      </c>
      <c r="X8" s="848">
        <v>51725010</v>
      </c>
      <c r="Y8" s="849">
        <v>47863353</v>
      </c>
      <c r="Z8" s="50"/>
      <c r="AA8" s="52"/>
      <c r="AB8" s="848">
        <v>1350000</v>
      </c>
      <c r="AC8" s="849">
        <v>1300000</v>
      </c>
      <c r="AD8" s="848">
        <v>18207811</v>
      </c>
      <c r="AE8" s="849">
        <v>14097598</v>
      </c>
      <c r="AF8" s="848">
        <v>6017393</v>
      </c>
      <c r="AG8" s="849">
        <v>7702393</v>
      </c>
      <c r="AH8" s="848"/>
      <c r="AI8" s="849"/>
      <c r="AJ8" s="848">
        <v>3031592</v>
      </c>
      <c r="AK8" s="849">
        <v>3031592</v>
      </c>
      <c r="AL8" s="850"/>
      <c r="AM8" s="851"/>
      <c r="AN8" s="685">
        <v>62435776</v>
      </c>
      <c r="AO8" s="686">
        <v>52339681</v>
      </c>
      <c r="AP8" s="852">
        <v>4113056</v>
      </c>
      <c r="AQ8" s="853">
        <v>3581736</v>
      </c>
      <c r="AR8" s="854">
        <v>3006817</v>
      </c>
      <c r="AS8" s="855">
        <v>2686056</v>
      </c>
      <c r="AT8" s="848">
        <v>1062255</v>
      </c>
      <c r="AU8" s="849">
        <v>259637</v>
      </c>
      <c r="AV8" s="845">
        <f t="shared" si="0"/>
        <v>317556637</v>
      </c>
      <c r="AW8" s="845">
        <f t="shared" si="0"/>
        <v>280157502</v>
      </c>
      <c r="AX8" s="854">
        <v>5519025</v>
      </c>
      <c r="AY8" s="855">
        <v>5226965</v>
      </c>
      <c r="AZ8" s="845">
        <f t="shared" si="1"/>
        <v>323075662</v>
      </c>
      <c r="BA8" s="845">
        <f t="shared" si="1"/>
        <v>285384467</v>
      </c>
    </row>
    <row r="9" spans="1:54" x14ac:dyDescent="0.3">
      <c r="A9" s="1075" t="s">
        <v>199</v>
      </c>
      <c r="B9" s="1069">
        <v>16686</v>
      </c>
      <c r="C9" s="1070">
        <v>445955</v>
      </c>
      <c r="D9" s="47"/>
      <c r="E9" s="48">
        <v>59</v>
      </c>
      <c r="F9" s="848">
        <v>-7850</v>
      </c>
      <c r="G9" s="849">
        <v>-2400</v>
      </c>
      <c r="H9" s="848">
        <v>303925</v>
      </c>
      <c r="I9" s="849">
        <v>249057</v>
      </c>
      <c r="J9" s="848">
        <v>-31676</v>
      </c>
      <c r="K9" s="849">
        <v>38763</v>
      </c>
      <c r="L9" s="848">
        <v>16743</v>
      </c>
      <c r="M9" s="849">
        <v>6110</v>
      </c>
      <c r="N9" s="848">
        <v>-517638</v>
      </c>
      <c r="O9" s="849">
        <v>73866</v>
      </c>
      <c r="P9" s="848">
        <v>7189</v>
      </c>
      <c r="Q9" s="849">
        <v>11976</v>
      </c>
      <c r="R9" s="848"/>
      <c r="S9" s="849">
        <v>186</v>
      </c>
      <c r="T9" s="848">
        <v>22312</v>
      </c>
      <c r="U9" s="849">
        <v>27074</v>
      </c>
      <c r="V9" s="848">
        <v>17627</v>
      </c>
      <c r="W9" s="849">
        <v>1134548</v>
      </c>
      <c r="X9" s="848">
        <v>2030375</v>
      </c>
      <c r="Y9" s="849">
        <v>5019241</v>
      </c>
      <c r="Z9" s="50">
        <v>-17066</v>
      </c>
      <c r="AA9" s="52">
        <v>-3883</v>
      </c>
      <c r="AB9" s="848">
        <v>-900</v>
      </c>
      <c r="AC9" s="849">
        <v>7090</v>
      </c>
      <c r="AD9" s="848"/>
      <c r="AE9" s="849"/>
      <c r="AF9" s="848">
        <v>-65686</v>
      </c>
      <c r="AG9" s="849">
        <v>98320</v>
      </c>
      <c r="AH9" s="848">
        <v>-441</v>
      </c>
      <c r="AI9" s="849">
        <v>4142</v>
      </c>
      <c r="AJ9" s="848">
        <v>218091</v>
      </c>
      <c r="AK9" s="849">
        <v>417754</v>
      </c>
      <c r="AL9" s="850"/>
      <c r="AM9" s="851"/>
      <c r="AN9" s="685">
        <v>894374</v>
      </c>
      <c r="AO9" s="686">
        <v>2011187</v>
      </c>
      <c r="AP9" s="852">
        <v>-76865</v>
      </c>
      <c r="AQ9" s="853">
        <v>497010</v>
      </c>
      <c r="AR9" s="854">
        <v>-4587</v>
      </c>
      <c r="AS9" s="855">
        <v>-3418</v>
      </c>
      <c r="AT9" s="848">
        <v>168379</v>
      </c>
      <c r="AU9" s="849">
        <v>171317</v>
      </c>
      <c r="AV9" s="845">
        <f t="shared" si="0"/>
        <v>2972992</v>
      </c>
      <c r="AW9" s="845">
        <f t="shared" si="0"/>
        <v>10203954</v>
      </c>
      <c r="AX9" s="854">
        <v>182856</v>
      </c>
      <c r="AY9" s="855">
        <v>272853</v>
      </c>
      <c r="AZ9" s="845">
        <f t="shared" si="1"/>
        <v>3155848</v>
      </c>
      <c r="BA9" s="845">
        <f t="shared" si="1"/>
        <v>10476807</v>
      </c>
    </row>
    <row r="10" spans="1:54" x14ac:dyDescent="0.3">
      <c r="A10" s="1075" t="s">
        <v>200</v>
      </c>
      <c r="B10" s="1069"/>
      <c r="C10" s="1070"/>
      <c r="D10" s="47"/>
      <c r="E10" s="48"/>
      <c r="F10" s="848"/>
      <c r="G10" s="856"/>
      <c r="H10" s="848"/>
      <c r="I10" s="856"/>
      <c r="J10" s="848"/>
      <c r="K10" s="856"/>
      <c r="L10" s="848"/>
      <c r="M10" s="849"/>
      <c r="N10" s="848"/>
      <c r="O10" s="856"/>
      <c r="P10" s="848"/>
      <c r="Q10" s="856"/>
      <c r="R10" s="848"/>
      <c r="S10" s="849"/>
      <c r="T10" s="848"/>
      <c r="U10" s="856"/>
      <c r="V10" s="848">
        <v>2755</v>
      </c>
      <c r="W10" s="849">
        <v>130641</v>
      </c>
      <c r="X10" s="848"/>
      <c r="Y10" s="849">
        <v>523</v>
      </c>
      <c r="Z10" s="50"/>
      <c r="AA10" s="52"/>
      <c r="AB10" s="848">
        <f>SUM(AB7:AB9)</f>
        <v>7599100</v>
      </c>
      <c r="AC10" s="848">
        <f>SUM(AC7:AC9)</f>
        <v>7557090</v>
      </c>
      <c r="AD10" s="848"/>
      <c r="AE10" s="849"/>
      <c r="AF10" s="848"/>
      <c r="AG10" s="849"/>
      <c r="AH10" s="848"/>
      <c r="AI10" s="849"/>
      <c r="AJ10" s="848"/>
      <c r="AK10" s="849"/>
      <c r="AL10" s="850"/>
      <c r="AM10" s="851"/>
      <c r="AN10" s="685"/>
      <c r="AO10" s="686"/>
      <c r="AP10" s="852"/>
      <c r="AQ10" s="853"/>
      <c r="AR10" s="854"/>
      <c r="AS10" s="855"/>
      <c r="AT10" s="848"/>
      <c r="AU10" s="849"/>
      <c r="AV10" s="845">
        <f t="shared" si="0"/>
        <v>7601855</v>
      </c>
      <c r="AW10" s="845">
        <f t="shared" si="0"/>
        <v>7688254</v>
      </c>
      <c r="AX10" s="854"/>
      <c r="AY10" s="855"/>
      <c r="AZ10" s="845">
        <f t="shared" si="1"/>
        <v>7601855</v>
      </c>
      <c r="BA10" s="845">
        <f t="shared" si="1"/>
        <v>7688254</v>
      </c>
    </row>
    <row r="11" spans="1:54" x14ac:dyDescent="0.3">
      <c r="A11" s="1074" t="s">
        <v>201</v>
      </c>
      <c r="B11" s="1067">
        <f>SUM(B7:B9)</f>
        <v>21711714</v>
      </c>
      <c r="C11" s="1068">
        <f>SUM(C7:C9)</f>
        <v>22140983</v>
      </c>
      <c r="D11" s="70">
        <f>SUM(D7:D9)</f>
        <v>20056364</v>
      </c>
      <c r="E11" s="71">
        <f t="shared" ref="E11:G11" si="2">SUM(E7:E9)</f>
        <v>18399003</v>
      </c>
      <c r="F11" s="857">
        <f t="shared" si="2"/>
        <v>20041150</v>
      </c>
      <c r="G11" s="857">
        <f t="shared" si="2"/>
        <v>20046600</v>
      </c>
      <c r="H11" s="857">
        <f>SUM(H7:H9)</f>
        <v>95005230</v>
      </c>
      <c r="I11" s="857">
        <f>SUM(I7:I9)</f>
        <v>90453487</v>
      </c>
      <c r="J11" s="857">
        <f>SUM(J7:J9)</f>
        <v>27104776</v>
      </c>
      <c r="K11" s="857">
        <f>SUM(K7:K9)</f>
        <v>26175215</v>
      </c>
      <c r="L11" s="857">
        <f>SUM(L7:L9)</f>
        <v>10766743</v>
      </c>
      <c r="M11" s="858">
        <v>10756110</v>
      </c>
      <c r="N11" s="857">
        <f>SUM(N7:N9)</f>
        <v>11552198</v>
      </c>
      <c r="O11" s="857">
        <f>SUM(O7:O9)</f>
        <v>12143702</v>
      </c>
      <c r="P11" s="857">
        <f>SUM(P7:P9)</f>
        <v>19981876</v>
      </c>
      <c r="Q11" s="857">
        <f>SUM(Q7:Q9)</f>
        <v>19986663</v>
      </c>
      <c r="R11" s="857">
        <f>R7</f>
        <v>18500000</v>
      </c>
      <c r="S11" s="858">
        <f>S7+S9</f>
        <v>17500186</v>
      </c>
      <c r="T11" s="857">
        <f>T7+T9</f>
        <v>17950518</v>
      </c>
      <c r="U11" s="857">
        <f>U7+U9</f>
        <v>16855280</v>
      </c>
      <c r="V11" s="857">
        <v>56913671</v>
      </c>
      <c r="W11" s="858">
        <v>44727447</v>
      </c>
      <c r="X11" s="857">
        <v>68113230</v>
      </c>
      <c r="Y11" s="858">
        <v>67237799</v>
      </c>
      <c r="Z11" s="50">
        <v>7982934</v>
      </c>
      <c r="AA11" s="52">
        <v>7996117</v>
      </c>
      <c r="AB11" s="857"/>
      <c r="AC11" s="858"/>
      <c r="AD11" s="859">
        <f>AD7+AD8</f>
        <v>23310713</v>
      </c>
      <c r="AE11" s="859">
        <f>AE7+AE8</f>
        <v>19200500</v>
      </c>
      <c r="AF11" s="857">
        <v>25139836</v>
      </c>
      <c r="AG11" s="858">
        <v>26988842</v>
      </c>
      <c r="AH11" s="857">
        <v>20128402</v>
      </c>
      <c r="AI11" s="858">
        <v>20132985</v>
      </c>
      <c r="AJ11" s="857">
        <v>15212918</v>
      </c>
      <c r="AK11" s="858">
        <v>15412581</v>
      </c>
      <c r="AL11" s="850"/>
      <c r="AM11" s="851"/>
      <c r="AN11" s="860">
        <v>73330150</v>
      </c>
      <c r="AO11" s="687">
        <v>64350868</v>
      </c>
      <c r="AP11" s="852">
        <v>5788034</v>
      </c>
      <c r="AQ11" s="853">
        <v>5829680</v>
      </c>
      <c r="AR11" s="854">
        <v>5591871</v>
      </c>
      <c r="AS11" s="855">
        <v>5272279</v>
      </c>
      <c r="AT11" s="857">
        <v>20765634</v>
      </c>
      <c r="AU11" s="858">
        <v>19965954</v>
      </c>
      <c r="AV11" s="845">
        <f t="shared" si="0"/>
        <v>584947962</v>
      </c>
      <c r="AW11" s="845">
        <f t="shared" si="0"/>
        <v>551572281</v>
      </c>
      <c r="AX11" s="857">
        <f>SUM(AX7:AX9)</f>
        <v>6701881</v>
      </c>
      <c r="AY11" s="858">
        <f>SUM(AY7:AY9)</f>
        <v>6499818</v>
      </c>
      <c r="AZ11" s="845">
        <f t="shared" si="1"/>
        <v>591649843</v>
      </c>
      <c r="BA11" s="845">
        <f t="shared" si="1"/>
        <v>558072099</v>
      </c>
    </row>
    <row r="12" spans="1:54" x14ac:dyDescent="0.3">
      <c r="A12" s="1075" t="s">
        <v>202</v>
      </c>
      <c r="B12" s="1069"/>
      <c r="C12" s="1070"/>
      <c r="D12" s="47">
        <v>700000</v>
      </c>
      <c r="E12" s="48">
        <v>700000</v>
      </c>
      <c r="F12" s="848"/>
      <c r="G12" s="849"/>
      <c r="H12" s="848"/>
      <c r="I12" s="849"/>
      <c r="J12" s="848">
        <v>600000</v>
      </c>
      <c r="K12" s="849">
        <v>600000</v>
      </c>
      <c r="L12" s="848"/>
      <c r="M12" s="849"/>
      <c r="N12" s="848"/>
      <c r="O12" s="849"/>
      <c r="P12" s="848"/>
      <c r="Q12" s="849"/>
      <c r="R12" s="848"/>
      <c r="S12" s="849"/>
      <c r="T12" s="848"/>
      <c r="U12" s="849"/>
      <c r="V12" s="848"/>
      <c r="W12" s="849"/>
      <c r="X12" s="848"/>
      <c r="Y12" s="849"/>
      <c r="Z12" s="47"/>
      <c r="AA12" s="48"/>
      <c r="AB12" s="848">
        <v>1000000</v>
      </c>
      <c r="AC12" s="849"/>
      <c r="AD12" s="848"/>
      <c r="AE12" s="849"/>
      <c r="AF12" s="848"/>
      <c r="AG12" s="849"/>
      <c r="AH12" s="848">
        <v>62214</v>
      </c>
      <c r="AI12" s="849">
        <v>132277</v>
      </c>
      <c r="AJ12" s="848"/>
      <c r="AK12" s="849"/>
      <c r="AL12" s="850"/>
      <c r="AM12" s="851"/>
      <c r="AN12" s="685"/>
      <c r="AO12" s="48"/>
      <c r="AP12" s="852"/>
      <c r="AQ12" s="853"/>
      <c r="AR12" s="854"/>
      <c r="AS12" s="855"/>
      <c r="AT12" s="848"/>
      <c r="AU12" s="849"/>
      <c r="AV12" s="845">
        <f t="shared" si="0"/>
        <v>2362214</v>
      </c>
      <c r="AW12" s="845">
        <f t="shared" si="0"/>
        <v>1432277</v>
      </c>
      <c r="AX12" s="854"/>
      <c r="AY12" s="855"/>
      <c r="AZ12" s="845">
        <f t="shared" si="1"/>
        <v>2362214</v>
      </c>
      <c r="BA12" s="845">
        <f t="shared" si="1"/>
        <v>1432277</v>
      </c>
    </row>
    <row r="13" spans="1:54" x14ac:dyDescent="0.3">
      <c r="A13" s="1074" t="s">
        <v>203</v>
      </c>
      <c r="B13" s="1069"/>
      <c r="C13" s="1070"/>
      <c r="D13" s="47"/>
      <c r="E13" s="48"/>
      <c r="F13" s="848"/>
      <c r="G13" s="849"/>
      <c r="H13" s="848"/>
      <c r="I13" s="849"/>
      <c r="J13" s="848"/>
      <c r="K13" s="849"/>
      <c r="L13" s="848"/>
      <c r="M13" s="849"/>
      <c r="N13" s="848"/>
      <c r="O13" s="849"/>
      <c r="P13" s="848"/>
      <c r="Q13" s="849"/>
      <c r="R13" s="848"/>
      <c r="S13" s="849"/>
      <c r="T13" s="848"/>
      <c r="U13" s="849"/>
      <c r="V13" s="848"/>
      <c r="W13" s="849"/>
      <c r="X13" s="848"/>
      <c r="Y13" s="849"/>
      <c r="Z13" s="47"/>
      <c r="AA13" s="48"/>
      <c r="AB13" s="848"/>
      <c r="AC13" s="849"/>
      <c r="AD13" s="848"/>
      <c r="AE13" s="849"/>
      <c r="AF13" s="848"/>
      <c r="AG13" s="849"/>
      <c r="AH13" s="848"/>
      <c r="AI13" s="849"/>
      <c r="AJ13" s="848"/>
      <c r="AK13" s="849"/>
      <c r="AL13" s="850"/>
      <c r="AM13" s="851"/>
      <c r="AN13" s="47"/>
      <c r="AO13" s="48"/>
      <c r="AP13" s="852"/>
      <c r="AQ13" s="853"/>
      <c r="AR13" s="854"/>
      <c r="AS13" s="855"/>
      <c r="AT13" s="848"/>
      <c r="AU13" s="849"/>
      <c r="AV13" s="845">
        <f t="shared" si="0"/>
        <v>0</v>
      </c>
      <c r="AW13" s="845">
        <f t="shared" si="0"/>
        <v>0</v>
      </c>
      <c r="AX13" s="854"/>
      <c r="AY13" s="855"/>
      <c r="AZ13" s="845">
        <f t="shared" si="1"/>
        <v>0</v>
      </c>
      <c r="BA13" s="845">
        <f t="shared" si="1"/>
        <v>0</v>
      </c>
    </row>
    <row r="14" spans="1:54" x14ac:dyDescent="0.3">
      <c r="A14" s="1075" t="s">
        <v>199</v>
      </c>
      <c r="B14" s="1069">
        <v>556322</v>
      </c>
      <c r="C14" s="1070">
        <v>856193</v>
      </c>
      <c r="D14" s="47">
        <v>5335</v>
      </c>
      <c r="E14" s="48">
        <v>28220</v>
      </c>
      <c r="F14" s="848">
        <v>-61066</v>
      </c>
      <c r="G14" s="849">
        <v>-20999</v>
      </c>
      <c r="H14" s="848">
        <v>7742732</v>
      </c>
      <c r="I14" s="849">
        <v>9685105</v>
      </c>
      <c r="J14" s="848">
        <v>-78883</v>
      </c>
      <c r="K14" s="849">
        <v>177186</v>
      </c>
      <c r="L14" s="848">
        <v>2059</v>
      </c>
      <c r="M14" s="849">
        <v>11832</v>
      </c>
      <c r="N14" s="848">
        <v>-4149</v>
      </c>
      <c r="O14" s="849">
        <v>18877</v>
      </c>
      <c r="P14" s="848">
        <v>-44794</v>
      </c>
      <c r="Q14" s="849">
        <v>13617</v>
      </c>
      <c r="R14" s="848">
        <v>33927</v>
      </c>
      <c r="S14" s="849">
        <v>538482</v>
      </c>
      <c r="T14" s="848">
        <v>55453</v>
      </c>
      <c r="U14" s="849">
        <v>121722</v>
      </c>
      <c r="V14" s="848">
        <v>8422357</v>
      </c>
      <c r="W14" s="849">
        <v>8366123</v>
      </c>
      <c r="X14" s="848">
        <v>14281654</v>
      </c>
      <c r="Y14" s="849">
        <v>24416097</v>
      </c>
      <c r="Z14" s="47">
        <v>-132916</v>
      </c>
      <c r="AA14" s="48">
        <v>-4609</v>
      </c>
      <c r="AB14" s="848">
        <v>-88454</v>
      </c>
      <c r="AC14" s="849">
        <v>70021</v>
      </c>
      <c r="AD14" s="848">
        <v>1806628</v>
      </c>
      <c r="AE14" s="849">
        <v>3420458</v>
      </c>
      <c r="AF14" s="848">
        <v>2363259</v>
      </c>
      <c r="AG14" s="849">
        <v>3452993</v>
      </c>
      <c r="AH14" s="848">
        <v>264043</v>
      </c>
      <c r="AI14" s="849">
        <v>95375</v>
      </c>
      <c r="AJ14" s="848">
        <v>1013294</v>
      </c>
      <c r="AK14" s="849">
        <v>2084026</v>
      </c>
      <c r="AL14" s="850"/>
      <c r="AM14" s="851"/>
      <c r="AN14" s="685">
        <v>8198504</v>
      </c>
      <c r="AO14" s="686">
        <v>12204507</v>
      </c>
      <c r="AP14" s="852">
        <v>83909</v>
      </c>
      <c r="AQ14" s="853">
        <v>551977</v>
      </c>
      <c r="AR14" s="854">
        <v>-29943</v>
      </c>
      <c r="AS14" s="855">
        <v>-20174</v>
      </c>
      <c r="AT14" s="848">
        <v>6094771</v>
      </c>
      <c r="AU14" s="849">
        <v>5959979</v>
      </c>
      <c r="AV14" s="845">
        <f t="shared" si="0"/>
        <v>50484042</v>
      </c>
      <c r="AW14" s="845">
        <f t="shared" si="0"/>
        <v>72027008</v>
      </c>
      <c r="AX14" s="854">
        <v>1982757277</v>
      </c>
      <c r="AY14" s="855">
        <v>2460798958</v>
      </c>
      <c r="AZ14" s="845">
        <f t="shared" si="1"/>
        <v>2033241319</v>
      </c>
      <c r="BA14" s="845">
        <f t="shared" si="1"/>
        <v>2532825966</v>
      </c>
    </row>
    <row r="15" spans="1:54" x14ac:dyDescent="0.3">
      <c r="A15" s="1075" t="s">
        <v>204</v>
      </c>
      <c r="B15" s="1069"/>
      <c r="C15" s="1070"/>
      <c r="D15" s="47"/>
      <c r="E15" s="48"/>
      <c r="F15" s="848"/>
      <c r="G15" s="849"/>
      <c r="H15" s="848"/>
      <c r="I15" s="849"/>
      <c r="J15" s="848"/>
      <c r="K15" s="849"/>
      <c r="L15" s="848"/>
      <c r="M15" s="849"/>
      <c r="N15" s="848"/>
      <c r="O15" s="849"/>
      <c r="P15" s="848"/>
      <c r="Q15" s="849"/>
      <c r="R15" s="848"/>
      <c r="S15" s="849"/>
      <c r="T15" s="848"/>
      <c r="U15" s="849"/>
      <c r="V15" s="848"/>
      <c r="W15" s="849"/>
      <c r="X15" s="848">
        <v>614479</v>
      </c>
      <c r="Y15" s="849">
        <v>583999</v>
      </c>
      <c r="Z15" s="47"/>
      <c r="AA15" s="48"/>
      <c r="AB15" s="848"/>
      <c r="AC15" s="849"/>
      <c r="AD15" s="848">
        <v>343721</v>
      </c>
      <c r="AE15" s="849">
        <v>203345</v>
      </c>
      <c r="AF15" s="848">
        <v>22248</v>
      </c>
      <c r="AG15" s="849">
        <v>1111</v>
      </c>
      <c r="AH15" s="848"/>
      <c r="AI15" s="849"/>
      <c r="AJ15" s="848"/>
      <c r="AK15" s="849"/>
      <c r="AL15" s="850"/>
      <c r="AM15" s="851"/>
      <c r="AN15" s="685"/>
      <c r="AO15" s="686"/>
      <c r="AP15" s="852"/>
      <c r="AQ15" s="853"/>
      <c r="AR15" s="854"/>
      <c r="AS15" s="855"/>
      <c r="AT15" s="848"/>
      <c r="AU15" s="849"/>
      <c r="AV15" s="845">
        <f t="shared" si="0"/>
        <v>980448</v>
      </c>
      <c r="AW15" s="845">
        <f t="shared" si="0"/>
        <v>788455</v>
      </c>
      <c r="AX15" s="854"/>
      <c r="AY15" s="855"/>
      <c r="AZ15" s="845">
        <f t="shared" si="1"/>
        <v>980448</v>
      </c>
      <c r="BA15" s="845">
        <f t="shared" si="1"/>
        <v>788455</v>
      </c>
    </row>
    <row r="16" spans="1:54" x14ac:dyDescent="0.3">
      <c r="A16" s="1075" t="s">
        <v>205</v>
      </c>
      <c r="B16" s="1069">
        <v>129713420</v>
      </c>
      <c r="C16" s="1070">
        <v>100068287</v>
      </c>
      <c r="D16" s="47">
        <v>11629766</v>
      </c>
      <c r="E16" s="48">
        <v>9234705</v>
      </c>
      <c r="F16" s="848">
        <f>326636+14356+4+115451+12999+42945872+1562927+731232+296+368055+164819+92250</f>
        <v>46334897</v>
      </c>
      <c r="G16" s="849">
        <f>413685+12931+97143+13910+36319048+1497155+843098+533602+322092+179777+75853</f>
        <v>40308294</v>
      </c>
      <c r="H16" s="848"/>
      <c r="I16" s="849"/>
      <c r="J16" s="848">
        <v>40085722</v>
      </c>
      <c r="K16" s="849">
        <v>28547041</v>
      </c>
      <c r="L16" s="848">
        <f>820839+39895+3598207+23139821+782878+1851499+11568102+979222+3869</f>
        <v>42784332</v>
      </c>
      <c r="M16" s="849">
        <v>33656994</v>
      </c>
      <c r="N16" s="848">
        <v>29935755</v>
      </c>
      <c r="O16" s="849">
        <v>21633591</v>
      </c>
      <c r="P16" s="848">
        <v>12879643</v>
      </c>
      <c r="Q16" s="849">
        <v>8775857</v>
      </c>
      <c r="R16" s="848">
        <f>63639637+18364+23170014+630180+8576347+9149824</f>
        <v>105184366</v>
      </c>
      <c r="S16" s="849">
        <f>18703487+446240+8666534+8021719</f>
        <v>35837980</v>
      </c>
      <c r="T16" s="848">
        <v>27360929</v>
      </c>
      <c r="U16" s="849">
        <v>22614790</v>
      </c>
      <c r="V16" s="848">
        <v>501308832</v>
      </c>
      <c r="W16" s="849">
        <v>389793192</v>
      </c>
      <c r="X16" s="848"/>
      <c r="Y16" s="849"/>
      <c r="Z16" s="47">
        <v>51383097</v>
      </c>
      <c r="AA16" s="48">
        <v>41803079</v>
      </c>
      <c r="AB16" s="848">
        <v>95430279</v>
      </c>
      <c r="AC16" s="849">
        <v>77040499</v>
      </c>
      <c r="AD16" s="848">
        <v>115252580</v>
      </c>
      <c r="AE16" s="849">
        <v>83528622</v>
      </c>
      <c r="AF16" s="848">
        <v>357841877</v>
      </c>
      <c r="AG16" s="849">
        <v>310137406</v>
      </c>
      <c r="AH16" s="848">
        <v>116671254</v>
      </c>
      <c r="AI16" s="849">
        <v>89905657</v>
      </c>
      <c r="AJ16" s="848">
        <v>118008298</v>
      </c>
      <c r="AK16" s="849">
        <v>98544724</v>
      </c>
      <c r="AL16" s="850"/>
      <c r="AM16" s="851"/>
      <c r="AN16" s="685">
        <v>621545912</v>
      </c>
      <c r="AO16" s="686">
        <v>527970817</v>
      </c>
      <c r="AP16" s="852">
        <v>29501984</v>
      </c>
      <c r="AQ16" s="853">
        <v>21651234</v>
      </c>
      <c r="AR16" s="854">
        <v>46186684</v>
      </c>
      <c r="AS16" s="855">
        <v>35767754</v>
      </c>
      <c r="AT16" s="848">
        <v>143744130</v>
      </c>
      <c r="AU16" s="849">
        <v>120485921</v>
      </c>
      <c r="AV16" s="845">
        <f t="shared" si="0"/>
        <v>2642783757</v>
      </c>
      <c r="AW16" s="845">
        <f t="shared" si="0"/>
        <v>2097306444</v>
      </c>
      <c r="AX16" s="854">
        <v>27170925832</v>
      </c>
      <c r="AY16" s="855">
        <v>24767289144</v>
      </c>
      <c r="AZ16" s="845">
        <f t="shared" si="1"/>
        <v>29813709589</v>
      </c>
      <c r="BA16" s="845">
        <f t="shared" si="1"/>
        <v>26864595588</v>
      </c>
    </row>
    <row r="17" spans="1:53" x14ac:dyDescent="0.3">
      <c r="A17" s="1075" t="s">
        <v>206</v>
      </c>
      <c r="B17" s="1067"/>
      <c r="C17" s="1068"/>
      <c r="D17" s="70"/>
      <c r="E17" s="71"/>
      <c r="F17" s="857"/>
      <c r="G17" s="858"/>
      <c r="H17" s="857">
        <v>223857545</v>
      </c>
      <c r="I17" s="858">
        <v>201573182</v>
      </c>
      <c r="J17" s="857"/>
      <c r="K17" s="858"/>
      <c r="L17" s="857"/>
      <c r="M17" s="858"/>
      <c r="N17" s="857"/>
      <c r="O17" s="858"/>
      <c r="P17" s="857"/>
      <c r="Q17" s="858"/>
      <c r="R17" s="857"/>
      <c r="S17" s="858"/>
      <c r="T17" s="857"/>
      <c r="U17" s="858"/>
      <c r="V17" s="857"/>
      <c r="W17" s="858"/>
      <c r="X17" s="857"/>
      <c r="Y17" s="858"/>
      <c r="Z17" s="50"/>
      <c r="AA17" s="52"/>
      <c r="AB17" s="857"/>
      <c r="AC17" s="858"/>
      <c r="AD17" s="859"/>
      <c r="AE17" s="861"/>
      <c r="AF17" s="857"/>
      <c r="AG17" s="858"/>
      <c r="AH17" s="857"/>
      <c r="AI17" s="858"/>
      <c r="AJ17" s="857"/>
      <c r="AK17" s="858"/>
      <c r="AL17" s="850"/>
      <c r="AM17" s="851"/>
      <c r="AN17" s="685"/>
      <c r="AO17" s="48"/>
      <c r="AP17" s="852"/>
      <c r="AQ17" s="853"/>
      <c r="AR17" s="854"/>
      <c r="AS17" s="855"/>
      <c r="AT17" s="857"/>
      <c r="AU17" s="858"/>
      <c r="AV17" s="845">
        <f t="shared" si="0"/>
        <v>223857545</v>
      </c>
      <c r="AW17" s="845">
        <f t="shared" si="0"/>
        <v>201573182</v>
      </c>
      <c r="AX17" s="857">
        <v>98962271</v>
      </c>
      <c r="AY17" s="858">
        <v>96670235</v>
      </c>
      <c r="AZ17" s="845">
        <f t="shared" si="1"/>
        <v>322819816</v>
      </c>
      <c r="BA17" s="845">
        <f t="shared" si="1"/>
        <v>298243417</v>
      </c>
    </row>
    <row r="18" spans="1:53" x14ac:dyDescent="0.3">
      <c r="A18" s="1075" t="s">
        <v>207</v>
      </c>
      <c r="B18" s="1069">
        <v>225801796</v>
      </c>
      <c r="C18" s="1070">
        <v>222640000</v>
      </c>
      <c r="D18" s="47">
        <v>7996849</v>
      </c>
      <c r="E18" s="48">
        <v>8360972</v>
      </c>
      <c r="F18" s="848">
        <f>482728+40785+28465463+3682971+3712767+1722098</f>
        <v>38106812</v>
      </c>
      <c r="G18" s="849">
        <f>636292+56627+33321013+4705576+3722518+2027535</f>
        <v>44469561</v>
      </c>
      <c r="H18" s="848">
        <v>187121707</v>
      </c>
      <c r="I18" s="849">
        <v>178502441</v>
      </c>
      <c r="J18" s="848">
        <v>10034703</v>
      </c>
      <c r="K18" s="849">
        <v>11708736</v>
      </c>
      <c r="L18" s="848">
        <f>72577000+1015118</f>
        <v>73592118</v>
      </c>
      <c r="M18" s="849">
        <f>62787128+955616</f>
        <v>63742744</v>
      </c>
      <c r="N18" s="848">
        <v>3402320</v>
      </c>
      <c r="O18" s="849">
        <v>2826496</v>
      </c>
      <c r="P18" s="848">
        <v>4422600</v>
      </c>
      <c r="Q18" s="849">
        <v>2597564</v>
      </c>
      <c r="R18" s="848">
        <v>17161805</v>
      </c>
      <c r="S18" s="849">
        <v>18647718</v>
      </c>
      <c r="T18" s="848">
        <v>5224743</v>
      </c>
      <c r="U18" s="849">
        <v>5843247</v>
      </c>
      <c r="V18" s="848">
        <v>495292156</v>
      </c>
      <c r="W18" s="849">
        <v>448218366</v>
      </c>
      <c r="X18" s="848">
        <v>897655574</v>
      </c>
      <c r="Y18" s="849">
        <v>783336624</v>
      </c>
      <c r="Z18" s="50">
        <v>25158385</v>
      </c>
      <c r="AA18" s="52">
        <v>22332225</v>
      </c>
      <c r="AB18" s="848">
        <v>36437258</v>
      </c>
      <c r="AC18" s="849">
        <v>34219620</v>
      </c>
      <c r="AD18" s="848">
        <v>126197241</v>
      </c>
      <c r="AE18" s="849">
        <v>126368900</v>
      </c>
      <c r="AF18" s="848">
        <v>171259255</v>
      </c>
      <c r="AG18" s="849">
        <v>163049923</v>
      </c>
      <c r="AH18" s="848">
        <f>429678+55502144</f>
        <v>55931822</v>
      </c>
      <c r="AI18" s="849">
        <f>444994+59563281</f>
        <v>60008275</v>
      </c>
      <c r="AJ18" s="848">
        <v>62608871</v>
      </c>
      <c r="AK18" s="849">
        <v>69536060</v>
      </c>
      <c r="AL18" s="850"/>
      <c r="AM18" s="851"/>
      <c r="AN18" s="685">
        <v>581018929</v>
      </c>
      <c r="AO18" s="686">
        <v>455684671</v>
      </c>
      <c r="AP18" s="852">
        <v>5230130</v>
      </c>
      <c r="AQ18" s="853">
        <v>6646212</v>
      </c>
      <c r="AR18" s="854">
        <v>18893594</v>
      </c>
      <c r="AS18" s="855">
        <v>19596556</v>
      </c>
      <c r="AT18" s="848">
        <v>95251333</v>
      </c>
      <c r="AU18" s="849">
        <v>92823901</v>
      </c>
      <c r="AV18" s="845">
        <f t="shared" si="0"/>
        <v>3143800001</v>
      </c>
      <c r="AW18" s="845">
        <f t="shared" si="0"/>
        <v>2841160812</v>
      </c>
      <c r="AX18" s="848">
        <v>418725681</v>
      </c>
      <c r="AY18" s="849">
        <v>598938823</v>
      </c>
      <c r="AZ18" s="845">
        <f t="shared" si="1"/>
        <v>3562525682</v>
      </c>
      <c r="BA18" s="845">
        <f t="shared" si="1"/>
        <v>3440099635</v>
      </c>
    </row>
    <row r="19" spans="1:53" x14ac:dyDescent="0.3">
      <c r="A19" s="1075" t="s">
        <v>208</v>
      </c>
      <c r="B19" s="1069"/>
      <c r="C19" s="1070"/>
      <c r="D19" s="47"/>
      <c r="E19" s="48"/>
      <c r="F19" s="848">
        <v>102208</v>
      </c>
      <c r="G19" s="849">
        <v>124631</v>
      </c>
      <c r="H19" s="848"/>
      <c r="I19" s="849"/>
      <c r="J19" s="848"/>
      <c r="K19" s="849"/>
      <c r="L19" s="848">
        <v>779224</v>
      </c>
      <c r="M19" s="849">
        <v>748803</v>
      </c>
      <c r="N19" s="848"/>
      <c r="O19" s="849"/>
      <c r="P19" s="848"/>
      <c r="Q19" s="849"/>
      <c r="R19" s="848"/>
      <c r="S19" s="849"/>
      <c r="T19" s="848">
        <v>211138</v>
      </c>
      <c r="U19" s="849">
        <v>981</v>
      </c>
      <c r="V19" s="848"/>
      <c r="W19" s="849"/>
      <c r="X19" s="848"/>
      <c r="Y19" s="849"/>
      <c r="Z19" s="50"/>
      <c r="AA19" s="52"/>
      <c r="AB19" s="848"/>
      <c r="AC19" s="849"/>
      <c r="AD19" s="848"/>
      <c r="AE19" s="849"/>
      <c r="AF19" s="848">
        <v>2216132</v>
      </c>
      <c r="AG19" s="849"/>
      <c r="AH19" s="848"/>
      <c r="AI19" s="849"/>
      <c r="AJ19" s="848"/>
      <c r="AK19" s="849"/>
      <c r="AL19" s="850"/>
      <c r="AM19" s="851"/>
      <c r="AN19" s="685"/>
      <c r="AO19" s="686"/>
      <c r="AP19" s="852"/>
      <c r="AQ19" s="853"/>
      <c r="AR19" s="854"/>
      <c r="AS19" s="855"/>
      <c r="AT19" s="848"/>
      <c r="AU19" s="849"/>
      <c r="AV19" s="845">
        <f t="shared" si="0"/>
        <v>3308702</v>
      </c>
      <c r="AW19" s="845">
        <f t="shared" si="0"/>
        <v>874415</v>
      </c>
      <c r="AX19" s="848"/>
      <c r="AY19" s="849"/>
      <c r="AZ19" s="845">
        <f t="shared" si="1"/>
        <v>3308702</v>
      </c>
      <c r="BA19" s="845">
        <f t="shared" si="1"/>
        <v>874415</v>
      </c>
    </row>
    <row r="20" spans="1:53" x14ac:dyDescent="0.3">
      <c r="A20" s="1075" t="s">
        <v>209</v>
      </c>
      <c r="B20" s="1069">
        <v>14095997</v>
      </c>
      <c r="C20" s="1070">
        <v>25851514</v>
      </c>
      <c r="D20" s="47">
        <v>-30565</v>
      </c>
      <c r="E20" s="48">
        <v>60021</v>
      </c>
      <c r="F20" s="848"/>
      <c r="G20" s="849"/>
      <c r="H20" s="848">
        <v>19458291</v>
      </c>
      <c r="I20" s="849">
        <v>35674020</v>
      </c>
      <c r="J20" s="848"/>
      <c r="K20" s="849"/>
      <c r="L20" s="848">
        <v>6531111</v>
      </c>
      <c r="M20" s="849">
        <v>15087086</v>
      </c>
      <c r="N20" s="848"/>
      <c r="O20" s="849"/>
      <c r="P20" s="848">
        <v>106855</v>
      </c>
      <c r="Q20" s="849">
        <v>193024</v>
      </c>
      <c r="R20" s="848">
        <v>1599708</v>
      </c>
      <c r="S20" s="849">
        <v>2571912</v>
      </c>
      <c r="T20" s="848"/>
      <c r="U20" s="849"/>
      <c r="V20" s="848">
        <v>72726509</v>
      </c>
      <c r="W20" s="849">
        <v>110302542</v>
      </c>
      <c r="X20" s="848">
        <v>69975131</v>
      </c>
      <c r="Y20" s="849">
        <v>146879224</v>
      </c>
      <c r="Z20" s="50"/>
      <c r="AA20" s="52"/>
      <c r="AB20" s="848"/>
      <c r="AC20" s="849"/>
      <c r="AD20" s="848"/>
      <c r="AE20" s="849"/>
      <c r="AF20" s="848"/>
      <c r="AG20" s="849"/>
      <c r="AH20" s="848"/>
      <c r="AI20" s="849"/>
      <c r="AJ20" s="848"/>
      <c r="AK20" s="849"/>
      <c r="AL20" s="850"/>
      <c r="AM20" s="851"/>
      <c r="AN20" s="685">
        <v>34276860</v>
      </c>
      <c r="AO20" s="686">
        <v>45962452</v>
      </c>
      <c r="AP20" s="852"/>
      <c r="AQ20" s="853"/>
      <c r="AR20" s="854">
        <v>3718923</v>
      </c>
      <c r="AS20" s="855">
        <v>4540035</v>
      </c>
      <c r="AT20" s="848"/>
      <c r="AU20" s="849"/>
      <c r="AV20" s="845">
        <f t="shared" si="0"/>
        <v>222458820</v>
      </c>
      <c r="AW20" s="845">
        <f t="shared" si="0"/>
        <v>387121830</v>
      </c>
      <c r="AX20" s="848"/>
      <c r="AY20" s="849"/>
      <c r="AZ20" s="845">
        <f t="shared" si="1"/>
        <v>222458820</v>
      </c>
      <c r="BA20" s="845">
        <f t="shared" si="1"/>
        <v>387121830</v>
      </c>
    </row>
    <row r="21" spans="1:53" x14ac:dyDescent="0.3">
      <c r="A21" s="1075" t="s">
        <v>210</v>
      </c>
      <c r="B21" s="1069"/>
      <c r="C21" s="1070"/>
      <c r="D21" s="47"/>
      <c r="E21" s="48"/>
      <c r="F21" s="848"/>
      <c r="G21" s="849"/>
      <c r="H21" s="848"/>
      <c r="I21" s="849"/>
      <c r="J21" s="848"/>
      <c r="K21" s="849"/>
      <c r="L21" s="848"/>
      <c r="M21" s="849"/>
      <c r="N21" s="848"/>
      <c r="O21" s="849"/>
      <c r="P21" s="848"/>
      <c r="Q21" s="849"/>
      <c r="R21" s="848"/>
      <c r="S21" s="849"/>
      <c r="T21" s="848"/>
      <c r="U21" s="849"/>
      <c r="V21" s="848"/>
      <c r="W21" s="849"/>
      <c r="X21" s="848"/>
      <c r="Y21" s="849"/>
      <c r="Z21" s="50"/>
      <c r="AA21" s="52"/>
      <c r="AB21" s="848"/>
      <c r="AC21" s="849"/>
      <c r="AD21" s="848"/>
      <c r="AE21" s="849"/>
      <c r="AF21" s="848"/>
      <c r="AG21" s="849"/>
      <c r="AH21" s="848"/>
      <c r="AI21" s="849"/>
      <c r="AJ21" s="848"/>
      <c r="AK21" s="849"/>
      <c r="AL21" s="850"/>
      <c r="AM21" s="851"/>
      <c r="AN21" s="47"/>
      <c r="AO21" s="48"/>
      <c r="AP21" s="852"/>
      <c r="AQ21" s="853"/>
      <c r="AR21" s="854"/>
      <c r="AS21" s="855"/>
      <c r="AT21" s="848">
        <v>10022</v>
      </c>
      <c r="AU21" s="849">
        <v>2008</v>
      </c>
      <c r="AV21" s="845">
        <f t="shared" si="0"/>
        <v>10022</v>
      </c>
      <c r="AW21" s="845">
        <f t="shared" si="0"/>
        <v>2008</v>
      </c>
      <c r="AX21" s="848"/>
      <c r="AY21" s="849"/>
      <c r="AZ21" s="845">
        <f t="shared" si="1"/>
        <v>10022</v>
      </c>
      <c r="BA21" s="845">
        <f t="shared" si="1"/>
        <v>2008</v>
      </c>
    </row>
    <row r="22" spans="1:53" x14ac:dyDescent="0.3">
      <c r="A22" s="1075" t="s">
        <v>211</v>
      </c>
      <c r="B22" s="1069">
        <v>5796735</v>
      </c>
      <c r="C22" s="1070">
        <v>6661134</v>
      </c>
      <c r="D22" s="47">
        <v>875326</v>
      </c>
      <c r="E22" s="48">
        <v>964699</v>
      </c>
      <c r="F22" s="848"/>
      <c r="G22" s="849"/>
      <c r="H22" s="848">
        <v>7129858</v>
      </c>
      <c r="I22" s="849">
        <v>5179801</v>
      </c>
      <c r="J22" s="848">
        <v>95353</v>
      </c>
      <c r="K22" s="849">
        <v>483405</v>
      </c>
      <c r="L22" s="848">
        <v>5452891</v>
      </c>
      <c r="M22" s="849">
        <v>4612141</v>
      </c>
      <c r="N22" s="848"/>
      <c r="O22" s="849"/>
      <c r="P22" s="848"/>
      <c r="Q22" s="849"/>
      <c r="R22" s="848">
        <f>753743+710263</f>
        <v>1464006</v>
      </c>
      <c r="S22" s="849">
        <f>806335+694996</f>
        <v>1501331</v>
      </c>
      <c r="T22" s="848">
        <v>747867</v>
      </c>
      <c r="U22" s="849">
        <v>617653</v>
      </c>
      <c r="V22" s="848">
        <v>28937588</v>
      </c>
      <c r="W22" s="849">
        <v>30876822</v>
      </c>
      <c r="X22" s="848">
        <v>69178793</v>
      </c>
      <c r="Y22" s="849">
        <v>52645238</v>
      </c>
      <c r="Z22" s="50">
        <v>713080</v>
      </c>
      <c r="AA22" s="52">
        <v>374208</v>
      </c>
      <c r="AB22" s="848">
        <v>2053138</v>
      </c>
      <c r="AC22" s="849">
        <v>2662620</v>
      </c>
      <c r="AD22" s="848">
        <v>2367866</v>
      </c>
      <c r="AE22" s="849">
        <v>1782714</v>
      </c>
      <c r="AF22" s="848">
        <v>12882381</v>
      </c>
      <c r="AG22" s="849">
        <v>9502001</v>
      </c>
      <c r="AH22" s="848">
        <v>6270876</v>
      </c>
      <c r="AI22" s="849">
        <v>6799893</v>
      </c>
      <c r="AJ22" s="848">
        <v>5139789</v>
      </c>
      <c r="AK22" s="849">
        <v>5255014</v>
      </c>
      <c r="AL22" s="850"/>
      <c r="AM22" s="851"/>
      <c r="AN22" s="685">
        <v>32338676</v>
      </c>
      <c r="AO22" s="686">
        <v>22282234</v>
      </c>
      <c r="AP22" s="852">
        <v>243603</v>
      </c>
      <c r="AQ22" s="853">
        <v>258218</v>
      </c>
      <c r="AR22" s="854">
        <v>3543840</v>
      </c>
      <c r="AS22" s="855">
        <v>4080255</v>
      </c>
      <c r="AT22" s="848">
        <v>2995840</v>
      </c>
      <c r="AU22" s="849">
        <v>1771011</v>
      </c>
      <c r="AV22" s="845">
        <f t="shared" si="0"/>
        <v>188227506</v>
      </c>
      <c r="AW22" s="845">
        <f t="shared" si="0"/>
        <v>158310392</v>
      </c>
      <c r="AX22" s="848">
        <v>291729</v>
      </c>
      <c r="AY22" s="849">
        <v>28454</v>
      </c>
      <c r="AZ22" s="845">
        <f t="shared" si="1"/>
        <v>188519235</v>
      </c>
      <c r="BA22" s="845">
        <f t="shared" si="1"/>
        <v>158338846</v>
      </c>
    </row>
    <row r="23" spans="1:53" x14ac:dyDescent="0.3">
      <c r="A23" s="1075" t="s">
        <v>212</v>
      </c>
      <c r="B23" s="1067"/>
      <c r="C23" s="1068"/>
      <c r="D23" s="70">
        <v>10788</v>
      </c>
      <c r="E23" s="71">
        <v>11325</v>
      </c>
      <c r="F23" s="857"/>
      <c r="G23" s="858"/>
      <c r="H23" s="857">
        <v>45455</v>
      </c>
      <c r="I23" s="858">
        <v>23702</v>
      </c>
      <c r="J23" s="857"/>
      <c r="K23" s="858">
        <v>520160</v>
      </c>
      <c r="L23" s="857">
        <v>65220</v>
      </c>
      <c r="M23" s="858">
        <v>177455</v>
      </c>
      <c r="N23" s="857"/>
      <c r="O23" s="858"/>
      <c r="P23" s="857"/>
      <c r="Q23" s="858"/>
      <c r="R23" s="857">
        <v>112823</v>
      </c>
      <c r="S23" s="858">
        <v>95189</v>
      </c>
      <c r="T23" s="857"/>
      <c r="U23" s="858"/>
      <c r="V23" s="857">
        <v>93345</v>
      </c>
      <c r="W23" s="858">
        <v>131250</v>
      </c>
      <c r="X23" s="857">
        <f>206911-127041</f>
        <v>79870</v>
      </c>
      <c r="Y23" s="858">
        <f>99287-77220</f>
        <v>22067</v>
      </c>
      <c r="Z23" s="50"/>
      <c r="AA23" s="52"/>
      <c r="AB23" s="857"/>
      <c r="AC23" s="858"/>
      <c r="AD23" s="859"/>
      <c r="AE23" s="861"/>
      <c r="AF23" s="857"/>
      <c r="AG23" s="858"/>
      <c r="AH23" s="857"/>
      <c r="AI23" s="858"/>
      <c r="AJ23" s="857"/>
      <c r="AK23" s="858"/>
      <c r="AL23" s="850"/>
      <c r="AM23" s="851"/>
      <c r="AN23" s="685">
        <v>465382</v>
      </c>
      <c r="AO23" s="686">
        <v>431977</v>
      </c>
      <c r="AP23" s="852"/>
      <c r="AQ23" s="853"/>
      <c r="AR23" s="854">
        <v>4267</v>
      </c>
      <c r="AS23" s="855">
        <v>8392</v>
      </c>
      <c r="AT23" s="857">
        <v>954</v>
      </c>
      <c r="AU23" s="858">
        <v>421</v>
      </c>
      <c r="AV23" s="845">
        <f t="shared" si="0"/>
        <v>878104</v>
      </c>
      <c r="AW23" s="845">
        <f t="shared" si="0"/>
        <v>1421938</v>
      </c>
      <c r="AX23" s="857">
        <v>168228</v>
      </c>
      <c r="AY23" s="858">
        <v>373995</v>
      </c>
      <c r="AZ23" s="845">
        <f t="shared" si="1"/>
        <v>1046332</v>
      </c>
      <c r="BA23" s="845">
        <f t="shared" si="1"/>
        <v>1795933</v>
      </c>
    </row>
    <row r="24" spans="1:53" x14ac:dyDescent="0.3">
      <c r="A24" s="1074" t="s">
        <v>213</v>
      </c>
      <c r="B24" s="1069">
        <v>245694528</v>
      </c>
      <c r="C24" s="1070">
        <v>255152648</v>
      </c>
      <c r="D24" s="47"/>
      <c r="E24" s="48"/>
      <c r="F24" s="848"/>
      <c r="G24" s="849"/>
      <c r="H24" s="848"/>
      <c r="I24" s="849"/>
      <c r="J24" s="848"/>
      <c r="K24" s="849"/>
      <c r="L24" s="848"/>
      <c r="M24" s="849"/>
      <c r="N24" s="848"/>
      <c r="O24" s="849"/>
      <c r="P24" s="848"/>
      <c r="Q24" s="849"/>
      <c r="R24" s="848">
        <v>18874335</v>
      </c>
      <c r="S24" s="849">
        <v>21314819</v>
      </c>
      <c r="T24" s="848"/>
      <c r="U24" s="849"/>
      <c r="V24" s="848">
        <v>597049598</v>
      </c>
      <c r="W24" s="849">
        <v>589528980</v>
      </c>
      <c r="X24" s="848"/>
      <c r="Y24" s="849"/>
      <c r="Z24" s="50"/>
      <c r="AA24" s="52"/>
      <c r="AB24" s="848"/>
      <c r="AC24" s="849"/>
      <c r="AD24" s="848"/>
      <c r="AE24" s="849"/>
      <c r="AF24" s="848"/>
      <c r="AG24" s="849"/>
      <c r="AH24" s="848"/>
      <c r="AI24" s="849"/>
      <c r="AJ24" s="848"/>
      <c r="AK24" s="849"/>
      <c r="AL24" s="850"/>
      <c r="AM24" s="851"/>
      <c r="AN24" s="860">
        <v>648099847</v>
      </c>
      <c r="AO24" s="687">
        <v>524361334</v>
      </c>
      <c r="AP24" s="852"/>
      <c r="AQ24" s="853"/>
      <c r="AR24" s="854"/>
      <c r="AS24" s="855"/>
      <c r="AT24" s="848"/>
      <c r="AU24" s="849"/>
      <c r="AV24" s="845">
        <f t="shared" si="0"/>
        <v>1509718308</v>
      </c>
      <c r="AW24" s="845">
        <f t="shared" si="0"/>
        <v>1390357781</v>
      </c>
      <c r="AX24" s="854"/>
      <c r="AY24" s="855"/>
      <c r="AZ24" s="845">
        <f t="shared" si="1"/>
        <v>1509718308</v>
      </c>
      <c r="BA24" s="845">
        <f t="shared" si="1"/>
        <v>1390357781</v>
      </c>
    </row>
    <row r="25" spans="1:53" x14ac:dyDescent="0.3">
      <c r="A25" s="1074" t="s">
        <v>201</v>
      </c>
      <c r="B25" s="1069">
        <v>375964270</v>
      </c>
      <c r="C25" s="1070">
        <v>356077128</v>
      </c>
      <c r="D25" s="47"/>
      <c r="E25" s="48"/>
      <c r="F25" s="848">
        <v>84482851</v>
      </c>
      <c r="G25" s="849">
        <v>84881487</v>
      </c>
      <c r="H25" s="848">
        <v>445355588</v>
      </c>
      <c r="I25" s="849">
        <v>430638251</v>
      </c>
      <c r="J25" s="848"/>
      <c r="K25" s="849"/>
      <c r="L25" s="848">
        <v>129206955</v>
      </c>
      <c r="M25" s="849">
        <v>118037055</v>
      </c>
      <c r="N25" s="848">
        <v>33333926</v>
      </c>
      <c r="O25" s="849">
        <v>24478964</v>
      </c>
      <c r="P25" s="848">
        <v>17364304</v>
      </c>
      <c r="Q25" s="849">
        <v>11580062</v>
      </c>
      <c r="R25" s="848">
        <v>125556634</v>
      </c>
      <c r="S25" s="849">
        <v>112216042</v>
      </c>
      <c r="T25" s="848">
        <v>32641125</v>
      </c>
      <c r="U25" s="849">
        <v>28579759</v>
      </c>
      <c r="V25" s="848">
        <v>1106780787</v>
      </c>
      <c r="W25" s="849">
        <v>987688295</v>
      </c>
      <c r="X25" s="848"/>
      <c r="Y25" s="849"/>
      <c r="Z25" s="50">
        <v>77121646</v>
      </c>
      <c r="AA25" s="52">
        <v>64504903</v>
      </c>
      <c r="AB25" s="848">
        <v>133832221</v>
      </c>
      <c r="AC25" s="849">
        <v>113992671</v>
      </c>
      <c r="AD25" s="848">
        <v>245968036</v>
      </c>
      <c r="AE25" s="849">
        <v>215304039</v>
      </c>
      <c r="AF25" s="848">
        <v>546585152</v>
      </c>
      <c r="AG25" s="849">
        <v>486143434</v>
      </c>
      <c r="AH25" s="848">
        <v>179137995</v>
      </c>
      <c r="AI25" s="849">
        <v>156809200</v>
      </c>
      <c r="AJ25" s="848"/>
      <c r="AK25" s="849"/>
      <c r="AL25" s="850"/>
      <c r="AM25" s="851"/>
      <c r="AN25" s="860">
        <v>1277844262</v>
      </c>
      <c r="AO25" s="687">
        <v>1064536657</v>
      </c>
      <c r="AP25" s="852">
        <v>35059626</v>
      </c>
      <c r="AQ25" s="853">
        <v>29107640</v>
      </c>
      <c r="AR25" s="854">
        <v>73317365</v>
      </c>
      <c r="AS25" s="855">
        <v>63972818</v>
      </c>
      <c r="AT25" s="848"/>
      <c r="AU25" s="849"/>
      <c r="AV25" s="845">
        <f t="shared" si="0"/>
        <v>4919552743</v>
      </c>
      <c r="AW25" s="845">
        <f t="shared" si="0"/>
        <v>4348548405</v>
      </c>
      <c r="AX25" s="854">
        <v>29671831018</v>
      </c>
      <c r="AY25" s="855">
        <v>27924099609</v>
      </c>
      <c r="AZ25" s="845">
        <f t="shared" si="1"/>
        <v>34591383761</v>
      </c>
      <c r="BA25" s="845">
        <f t="shared" si="1"/>
        <v>32272648014</v>
      </c>
    </row>
    <row r="26" spans="1:53" x14ac:dyDescent="0.3">
      <c r="A26" s="1075" t="s">
        <v>214</v>
      </c>
      <c r="B26" s="1069">
        <v>78771</v>
      </c>
      <c r="C26" s="1070">
        <v>59883</v>
      </c>
      <c r="D26" s="47"/>
      <c r="E26" s="48">
        <v>6</v>
      </c>
      <c r="F26" s="848"/>
      <c r="G26" s="849"/>
      <c r="H26" s="848">
        <v>10433940</v>
      </c>
      <c r="I26" s="849">
        <v>4055232</v>
      </c>
      <c r="J26" s="848">
        <v>940624</v>
      </c>
      <c r="K26" s="849">
        <v>364676</v>
      </c>
      <c r="L26" s="848">
        <v>784481</v>
      </c>
      <c r="M26" s="849">
        <v>643501</v>
      </c>
      <c r="N26" s="848">
        <v>70136</v>
      </c>
      <c r="O26" s="849"/>
      <c r="P26" s="848">
        <v>545901</v>
      </c>
      <c r="Q26" s="849">
        <v>281117</v>
      </c>
      <c r="R26" s="848">
        <v>47386</v>
      </c>
      <c r="S26" s="849">
        <v>18547</v>
      </c>
      <c r="T26" s="848">
        <v>377201</v>
      </c>
      <c r="U26" s="849">
        <v>304693</v>
      </c>
      <c r="V26" s="848">
        <v>9833310</v>
      </c>
      <c r="W26" s="849">
        <v>9589607</v>
      </c>
      <c r="X26" s="848">
        <v>6846</v>
      </c>
      <c r="Y26" s="849">
        <v>8671</v>
      </c>
      <c r="Z26" s="50"/>
      <c r="AA26" s="52"/>
      <c r="AB26" s="848"/>
      <c r="AC26" s="849"/>
      <c r="AD26" s="848"/>
      <c r="AE26" s="849"/>
      <c r="AF26" s="848">
        <v>101151</v>
      </c>
      <c r="AG26" s="849">
        <v>85540</v>
      </c>
      <c r="AH26" s="848">
        <v>2748589</v>
      </c>
      <c r="AI26" s="849">
        <v>1965930</v>
      </c>
      <c r="AJ26" s="848"/>
      <c r="AK26" s="849"/>
      <c r="AL26" s="850"/>
      <c r="AM26" s="851"/>
      <c r="AN26" s="685"/>
      <c r="AO26" s="48"/>
      <c r="AP26" s="852">
        <v>717039</v>
      </c>
      <c r="AQ26" s="853">
        <v>628245</v>
      </c>
      <c r="AR26" s="854"/>
      <c r="AS26" s="855"/>
      <c r="AT26" s="848">
        <v>32188</v>
      </c>
      <c r="AU26" s="849">
        <v>13384</v>
      </c>
      <c r="AV26" s="845">
        <f t="shared" si="0"/>
        <v>26717563</v>
      </c>
      <c r="AW26" s="845">
        <f t="shared" si="0"/>
        <v>18019032</v>
      </c>
      <c r="AX26" s="854"/>
      <c r="AY26" s="855"/>
      <c r="AZ26" s="845">
        <f t="shared" si="1"/>
        <v>26717563</v>
      </c>
      <c r="BA26" s="845">
        <f t="shared" si="1"/>
        <v>18019032</v>
      </c>
    </row>
    <row r="27" spans="1:53" x14ac:dyDescent="0.3">
      <c r="A27" s="1075" t="s">
        <v>215</v>
      </c>
      <c r="B27" s="1069"/>
      <c r="C27" s="1070"/>
      <c r="D27" s="47">
        <v>897911</v>
      </c>
      <c r="E27" s="48">
        <v>137707</v>
      </c>
      <c r="F27" s="848">
        <v>698371</v>
      </c>
      <c r="G27" s="849">
        <v>600886</v>
      </c>
      <c r="H27" s="848"/>
      <c r="I27" s="849"/>
      <c r="J27" s="848"/>
      <c r="K27" s="849"/>
      <c r="L27" s="848"/>
      <c r="M27" s="849"/>
      <c r="N27" s="848"/>
      <c r="O27" s="849"/>
      <c r="P27" s="848">
        <v>32065</v>
      </c>
      <c r="Q27" s="849"/>
      <c r="R27" s="848">
        <v>715084</v>
      </c>
      <c r="S27" s="849">
        <v>415607</v>
      </c>
      <c r="T27" s="848"/>
      <c r="U27" s="849"/>
      <c r="V27" s="848"/>
      <c r="W27" s="849"/>
      <c r="X27" s="848">
        <v>10436245</v>
      </c>
      <c r="Y27" s="849">
        <v>7999054</v>
      </c>
      <c r="Z27" s="50">
        <v>1537159</v>
      </c>
      <c r="AA27" s="52">
        <v>850371</v>
      </c>
      <c r="AB27" s="848">
        <v>887866</v>
      </c>
      <c r="AC27" s="849">
        <v>444010</v>
      </c>
      <c r="AD27" s="848">
        <v>2029956</v>
      </c>
      <c r="AE27" s="849">
        <v>1787790</v>
      </c>
      <c r="AF27" s="848">
        <v>18569902</v>
      </c>
      <c r="AG27" s="849">
        <v>18569902</v>
      </c>
      <c r="AH27" s="848"/>
      <c r="AI27" s="849"/>
      <c r="AJ27" s="848"/>
      <c r="AK27" s="849"/>
      <c r="AL27" s="850"/>
      <c r="AM27" s="851"/>
      <c r="AN27" s="685">
        <v>6163864</v>
      </c>
      <c r="AO27" s="686">
        <v>2862796</v>
      </c>
      <c r="AP27" s="852"/>
      <c r="AQ27" s="853"/>
      <c r="AR27" s="854">
        <v>1862245</v>
      </c>
      <c r="AS27" s="855">
        <v>1441927</v>
      </c>
      <c r="AT27" s="848">
        <f>571462+129418</f>
        <v>700880</v>
      </c>
      <c r="AU27" s="849">
        <f>584717+113366</f>
        <v>698083</v>
      </c>
      <c r="AV27" s="845">
        <f t="shared" si="0"/>
        <v>44531548</v>
      </c>
      <c r="AW27" s="845">
        <f t="shared" si="0"/>
        <v>35808133</v>
      </c>
      <c r="AX27" s="854">
        <v>779</v>
      </c>
      <c r="AY27" s="855">
        <v>327</v>
      </c>
      <c r="AZ27" s="845">
        <f t="shared" si="1"/>
        <v>44532327</v>
      </c>
      <c r="BA27" s="845">
        <f t="shared" si="1"/>
        <v>35808460</v>
      </c>
    </row>
    <row r="28" spans="1:53" x14ac:dyDescent="0.3">
      <c r="A28" s="1075" t="s">
        <v>216</v>
      </c>
      <c r="B28" s="1069"/>
      <c r="C28" s="1070"/>
      <c r="D28" s="47"/>
      <c r="E28" s="48"/>
      <c r="F28" s="848"/>
      <c r="G28" s="849"/>
      <c r="H28" s="848"/>
      <c r="I28" s="849"/>
      <c r="J28" s="848"/>
      <c r="K28" s="849"/>
      <c r="L28" s="848"/>
      <c r="M28" s="849"/>
      <c r="N28" s="848"/>
      <c r="O28" s="849"/>
      <c r="P28" s="848"/>
      <c r="Q28" s="849"/>
      <c r="R28" s="848"/>
      <c r="S28" s="849"/>
      <c r="T28" s="848"/>
      <c r="U28" s="849"/>
      <c r="V28" s="848"/>
      <c r="W28" s="849"/>
      <c r="X28" s="848"/>
      <c r="Y28" s="849"/>
      <c r="Z28" s="50"/>
      <c r="AA28" s="52"/>
      <c r="AB28" s="848"/>
      <c r="AC28" s="849"/>
      <c r="AD28" s="848">
        <v>3401283</v>
      </c>
      <c r="AE28" s="849">
        <v>2353760</v>
      </c>
      <c r="AF28" s="848"/>
      <c r="AG28" s="849"/>
      <c r="AH28" s="848"/>
      <c r="AI28" s="849"/>
      <c r="AJ28" s="848">
        <v>3390764</v>
      </c>
      <c r="AK28" s="849">
        <v>2312037</v>
      </c>
      <c r="AL28" s="850"/>
      <c r="AM28" s="851"/>
      <c r="AN28" s="685"/>
      <c r="AO28" s="686"/>
      <c r="AP28" s="852"/>
      <c r="AQ28" s="853"/>
      <c r="AR28" s="854"/>
      <c r="AS28" s="855"/>
      <c r="AT28" s="848"/>
      <c r="AU28" s="849"/>
      <c r="AV28" s="845">
        <f t="shared" si="0"/>
        <v>6792047</v>
      </c>
      <c r="AW28" s="845">
        <f t="shared" si="0"/>
        <v>4665797</v>
      </c>
      <c r="AX28" s="854"/>
      <c r="AY28" s="855"/>
      <c r="AZ28" s="845">
        <f t="shared" si="1"/>
        <v>6792047</v>
      </c>
      <c r="BA28" s="845">
        <f t="shared" si="1"/>
        <v>4665797</v>
      </c>
    </row>
    <row r="29" spans="1:53" x14ac:dyDescent="0.3">
      <c r="A29" s="1076" t="s">
        <v>62</v>
      </c>
      <c r="B29" s="1067">
        <v>397754755</v>
      </c>
      <c r="C29" s="1068">
        <v>378277994</v>
      </c>
      <c r="D29" s="70"/>
      <c r="E29" s="71"/>
      <c r="F29" s="857">
        <v>105222372</v>
      </c>
      <c r="G29" s="858">
        <v>105528973</v>
      </c>
      <c r="H29" s="857">
        <v>550794758</v>
      </c>
      <c r="I29" s="858">
        <v>525146970</v>
      </c>
      <c r="J29" s="857"/>
      <c r="K29" s="858"/>
      <c r="L29" s="857">
        <v>140758179</v>
      </c>
      <c r="M29" s="858">
        <v>129436666</v>
      </c>
      <c r="N29" s="857">
        <v>44956260</v>
      </c>
      <c r="O29" s="858">
        <v>36622666</v>
      </c>
      <c r="P29" s="857">
        <v>37924146</v>
      </c>
      <c r="Q29" s="858">
        <v>31847842</v>
      </c>
      <c r="R29" s="857">
        <v>144819104</v>
      </c>
      <c r="S29" s="858">
        <v>130150382</v>
      </c>
      <c r="T29" s="857">
        <v>51927849</v>
      </c>
      <c r="U29" s="858">
        <v>46358366</v>
      </c>
      <c r="V29" s="857">
        <v>1173527768</v>
      </c>
      <c r="W29" s="858">
        <v>1042005349</v>
      </c>
      <c r="X29" s="857">
        <v>1491694132</v>
      </c>
      <c r="Y29" s="858">
        <v>1374709983</v>
      </c>
      <c r="Z29" s="862">
        <v>86641739</v>
      </c>
      <c r="AA29" s="52">
        <v>73351391</v>
      </c>
      <c r="AB29" s="857">
        <v>143319186</v>
      </c>
      <c r="AC29" s="858">
        <v>121993772</v>
      </c>
      <c r="AD29" s="859">
        <v>274709988</v>
      </c>
      <c r="AE29" s="861">
        <v>238646089</v>
      </c>
      <c r="AF29" s="857">
        <v>590396040</v>
      </c>
      <c r="AG29" s="858">
        <v>531787718</v>
      </c>
      <c r="AH29" s="857">
        <v>202077200</v>
      </c>
      <c r="AI29" s="858">
        <v>179040392</v>
      </c>
      <c r="AJ29" s="857">
        <v>205373934</v>
      </c>
      <c r="AK29" s="858">
        <v>193144442</v>
      </c>
      <c r="AL29" s="850"/>
      <c r="AM29" s="851"/>
      <c r="AN29" s="171">
        <v>1357338276</v>
      </c>
      <c r="AO29" s="173">
        <v>1131750321</v>
      </c>
      <c r="AP29" s="852">
        <v>41564699</v>
      </c>
      <c r="AQ29" s="853">
        <v>35565566</v>
      </c>
      <c r="AR29" s="854">
        <v>79771481</v>
      </c>
      <c r="AS29" s="855">
        <v>70687024</v>
      </c>
      <c r="AT29" s="857">
        <v>269595752</v>
      </c>
      <c r="AU29" s="858">
        <v>241720662</v>
      </c>
      <c r="AV29" s="845">
        <f t="shared" si="0"/>
        <v>7390167618</v>
      </c>
      <c r="AW29" s="845">
        <f t="shared" si="0"/>
        <v>6617772568</v>
      </c>
      <c r="AX29" s="857">
        <v>29678533678</v>
      </c>
      <c r="AY29" s="858">
        <v>27930599754</v>
      </c>
      <c r="AZ29" s="845">
        <f t="shared" si="1"/>
        <v>37068701296</v>
      </c>
      <c r="BA29" s="845">
        <f t="shared" si="1"/>
        <v>34548372322</v>
      </c>
    </row>
    <row r="30" spans="1:53" x14ac:dyDescent="0.3">
      <c r="A30" s="1074" t="s">
        <v>217</v>
      </c>
      <c r="B30" s="1069"/>
      <c r="C30" s="1070"/>
      <c r="D30" s="47"/>
      <c r="E30" s="48"/>
      <c r="F30" s="848"/>
      <c r="G30" s="849"/>
      <c r="H30" s="848"/>
      <c r="I30" s="849"/>
      <c r="J30" s="848"/>
      <c r="K30" s="849"/>
      <c r="L30" s="848"/>
      <c r="M30" s="849"/>
      <c r="N30" s="848"/>
      <c r="O30" s="849"/>
      <c r="P30" s="848"/>
      <c r="Q30" s="849"/>
      <c r="R30" s="848"/>
      <c r="S30" s="849"/>
      <c r="T30" s="848"/>
      <c r="U30" s="849"/>
      <c r="V30" s="848"/>
      <c r="W30" s="849"/>
      <c r="X30" s="848"/>
      <c r="Y30" s="849"/>
      <c r="Z30" s="50"/>
      <c r="AA30" s="52"/>
      <c r="AB30" s="848"/>
      <c r="AC30" s="849"/>
      <c r="AD30" s="848"/>
      <c r="AE30" s="849"/>
      <c r="AF30" s="848"/>
      <c r="AG30" s="849"/>
      <c r="AH30" s="848"/>
      <c r="AI30" s="849"/>
      <c r="AJ30" s="848"/>
      <c r="AK30" s="849"/>
      <c r="AL30" s="850"/>
      <c r="AM30" s="851"/>
      <c r="AN30" s="47"/>
      <c r="AO30" s="48"/>
      <c r="AP30" s="852"/>
      <c r="AQ30" s="853"/>
      <c r="AR30" s="854"/>
      <c r="AS30" s="855"/>
      <c r="AT30" s="848"/>
      <c r="AU30" s="849"/>
      <c r="AV30" s="845">
        <f t="shared" si="0"/>
        <v>0</v>
      </c>
      <c r="AW30" s="845">
        <f t="shared" si="0"/>
        <v>0</v>
      </c>
      <c r="AX30" s="854"/>
      <c r="AY30" s="855"/>
      <c r="AZ30" s="845">
        <f t="shared" si="1"/>
        <v>0</v>
      </c>
      <c r="BA30" s="845">
        <f t="shared" si="1"/>
        <v>0</v>
      </c>
    </row>
    <row r="31" spans="1:53" x14ac:dyDescent="0.3">
      <c r="A31" s="1074" t="s">
        <v>218</v>
      </c>
      <c r="B31" s="1069"/>
      <c r="C31" s="1070"/>
      <c r="D31" s="47"/>
      <c r="E31" s="48"/>
      <c r="F31" s="848"/>
      <c r="G31" s="849"/>
      <c r="H31" s="848"/>
      <c r="I31" s="849"/>
      <c r="J31" s="848"/>
      <c r="K31" s="849"/>
      <c r="L31" s="848"/>
      <c r="M31" s="849"/>
      <c r="N31" s="848"/>
      <c r="O31" s="849"/>
      <c r="P31" s="848"/>
      <c r="Q31" s="849"/>
      <c r="R31" s="848"/>
      <c r="S31" s="849"/>
      <c r="T31" s="848"/>
      <c r="U31" s="849"/>
      <c r="V31" s="848"/>
      <c r="W31" s="849"/>
      <c r="X31" s="848"/>
      <c r="Y31" s="849"/>
      <c r="Z31" s="50"/>
      <c r="AA31" s="52"/>
      <c r="AB31" s="848"/>
      <c r="AC31" s="849"/>
      <c r="AD31" s="848"/>
      <c r="AE31" s="849"/>
      <c r="AF31" s="848"/>
      <c r="AG31" s="849"/>
      <c r="AH31" s="848"/>
      <c r="AI31" s="849"/>
      <c r="AJ31" s="848"/>
      <c r="AK31" s="849"/>
      <c r="AL31" s="850"/>
      <c r="AM31" s="851"/>
      <c r="AN31" s="47"/>
      <c r="AO31" s="48"/>
      <c r="AP31" s="852"/>
      <c r="AQ31" s="853"/>
      <c r="AR31" s="854"/>
      <c r="AS31" s="855"/>
      <c r="AT31" s="848"/>
      <c r="AU31" s="849"/>
      <c r="AV31" s="845">
        <f t="shared" si="0"/>
        <v>0</v>
      </c>
      <c r="AW31" s="845">
        <f t="shared" si="0"/>
        <v>0</v>
      </c>
      <c r="AX31" s="854"/>
      <c r="AY31" s="855"/>
      <c r="AZ31" s="845">
        <f t="shared" si="1"/>
        <v>0</v>
      </c>
      <c r="BA31" s="845">
        <f t="shared" si="1"/>
        <v>0</v>
      </c>
    </row>
    <row r="32" spans="1:53" x14ac:dyDescent="0.3">
      <c r="A32" s="1075" t="s">
        <v>219</v>
      </c>
      <c r="B32" s="1069">
        <v>20416118</v>
      </c>
      <c r="C32" s="1070">
        <v>18154056</v>
      </c>
      <c r="D32" s="47">
        <v>1132784</v>
      </c>
      <c r="E32" s="48">
        <v>887817</v>
      </c>
      <c r="F32" s="848">
        <v>6240394</v>
      </c>
      <c r="G32" s="849">
        <v>6584126</v>
      </c>
      <c r="H32" s="848">
        <v>86414587</v>
      </c>
      <c r="I32" s="849">
        <v>86470275</v>
      </c>
      <c r="J32" s="848">
        <v>2819073</v>
      </c>
      <c r="K32" s="849">
        <v>2588528</v>
      </c>
      <c r="L32" s="848">
        <v>9413924</v>
      </c>
      <c r="M32" s="849">
        <v>7538656</v>
      </c>
      <c r="N32" s="848">
        <v>8653199</v>
      </c>
      <c r="O32" s="849">
        <v>9364175</v>
      </c>
      <c r="P32" s="848">
        <v>7504928</v>
      </c>
      <c r="Q32" s="849">
        <v>11027066</v>
      </c>
      <c r="R32" s="848">
        <v>10327862</v>
      </c>
      <c r="S32" s="849">
        <v>9337984</v>
      </c>
      <c r="T32" s="848">
        <v>2419237</v>
      </c>
      <c r="U32" s="849">
        <v>2199899</v>
      </c>
      <c r="V32" s="848">
        <v>48019374</v>
      </c>
      <c r="W32" s="849">
        <v>36248422</v>
      </c>
      <c r="X32" s="848">
        <v>73450261</v>
      </c>
      <c r="Y32" s="849">
        <v>72126887</v>
      </c>
      <c r="Z32" s="50">
        <v>6163565</v>
      </c>
      <c r="AA32" s="52">
        <v>5243052</v>
      </c>
      <c r="AB32" s="848">
        <v>5459818</v>
      </c>
      <c r="AC32" s="849">
        <v>4844955</v>
      </c>
      <c r="AD32" s="848">
        <v>23148431</v>
      </c>
      <c r="AE32" s="849">
        <v>19015259</v>
      </c>
      <c r="AF32" s="848">
        <v>30444215</v>
      </c>
      <c r="AG32" s="849">
        <v>32145857</v>
      </c>
      <c r="AH32" s="848">
        <v>11059089</v>
      </c>
      <c r="AI32" s="849">
        <v>9390562</v>
      </c>
      <c r="AJ32" s="848">
        <v>12141891</v>
      </c>
      <c r="AK32" s="849">
        <v>12257592</v>
      </c>
      <c r="AL32" s="850"/>
      <c r="AM32" s="851"/>
      <c r="AN32" s="685">
        <v>59034963</v>
      </c>
      <c r="AO32" s="686">
        <v>51522948</v>
      </c>
      <c r="AP32" s="852">
        <v>5397771</v>
      </c>
      <c r="AQ32" s="853">
        <v>5951435</v>
      </c>
      <c r="AR32" s="854">
        <v>4621569</v>
      </c>
      <c r="AS32" s="855">
        <v>3302278</v>
      </c>
      <c r="AT32" s="848">
        <v>19807649</v>
      </c>
      <c r="AU32" s="849">
        <v>18191331</v>
      </c>
      <c r="AV32" s="845">
        <f t="shared" si="0"/>
        <v>454090702</v>
      </c>
      <c r="AW32" s="845">
        <f t="shared" si="0"/>
        <v>424393160</v>
      </c>
      <c r="AX32" s="854">
        <v>6310916</v>
      </c>
      <c r="AY32" s="855">
        <v>5836318</v>
      </c>
      <c r="AZ32" s="845">
        <f t="shared" si="1"/>
        <v>460401618</v>
      </c>
      <c r="BA32" s="845">
        <f t="shared" si="1"/>
        <v>430229478</v>
      </c>
    </row>
    <row r="33" spans="1:54" x14ac:dyDescent="0.3">
      <c r="A33" s="1075" t="s">
        <v>220</v>
      </c>
      <c r="B33" s="1069">
        <v>123436871</v>
      </c>
      <c r="C33" s="1070">
        <v>95489078</v>
      </c>
      <c r="D33" s="47">
        <v>13008311</v>
      </c>
      <c r="E33" s="48">
        <v>10299462</v>
      </c>
      <c r="F33" s="848">
        <v>46375261</v>
      </c>
      <c r="G33" s="849">
        <v>40209088</v>
      </c>
      <c r="H33" s="848">
        <v>239774279</v>
      </c>
      <c r="I33" s="849">
        <v>212179712</v>
      </c>
      <c r="J33" s="848">
        <v>39692548</v>
      </c>
      <c r="K33" s="849">
        <v>28163286</v>
      </c>
      <c r="L33" s="848">
        <v>43562930</v>
      </c>
      <c r="M33" s="849">
        <v>34724910</v>
      </c>
      <c r="N33" s="848">
        <v>29788429</v>
      </c>
      <c r="O33" s="849">
        <v>21549510</v>
      </c>
      <c r="P33" s="848">
        <v>13612220</v>
      </c>
      <c r="Q33" s="849">
        <v>9412605</v>
      </c>
      <c r="R33" s="848">
        <v>104791403</v>
      </c>
      <c r="S33" s="849">
        <v>88434349</v>
      </c>
      <c r="T33" s="848">
        <v>26873584</v>
      </c>
      <c r="U33" s="849">
        <v>22351719</v>
      </c>
      <c r="V33" s="848">
        <v>531939763</v>
      </c>
      <c r="W33" s="849">
        <v>418498809</v>
      </c>
      <c r="X33" s="848">
        <v>377941535</v>
      </c>
      <c r="Y33" s="849">
        <v>318331280</v>
      </c>
      <c r="Z33" s="50">
        <v>50998755</v>
      </c>
      <c r="AA33" s="52">
        <v>40817111</v>
      </c>
      <c r="AB33" s="848">
        <v>94182880</v>
      </c>
      <c r="AC33" s="849">
        <v>76456009</v>
      </c>
      <c r="AD33" s="848">
        <v>123843498</v>
      </c>
      <c r="AE33" s="849">
        <v>92557258</v>
      </c>
      <c r="AF33" s="848">
        <v>369530758</v>
      </c>
      <c r="AG33" s="849">
        <v>319238422</v>
      </c>
      <c r="AH33" s="848">
        <v>118147130</v>
      </c>
      <c r="AI33" s="849">
        <v>92956782</v>
      </c>
      <c r="AJ33" s="848">
        <v>122132751</v>
      </c>
      <c r="AK33" s="849">
        <v>101247109</v>
      </c>
      <c r="AL33" s="850"/>
      <c r="AM33" s="851"/>
      <c r="AN33" s="685">
        <v>616923016</v>
      </c>
      <c r="AO33" s="686">
        <v>522192155</v>
      </c>
      <c r="AP33" s="852">
        <v>28684652</v>
      </c>
      <c r="AQ33" s="853">
        <v>21117501</v>
      </c>
      <c r="AR33" s="854">
        <v>46252451</v>
      </c>
      <c r="AS33" s="855">
        <v>36355105</v>
      </c>
      <c r="AT33" s="848">
        <v>147020450</v>
      </c>
      <c r="AU33" s="849">
        <v>121321104</v>
      </c>
      <c r="AV33" s="845">
        <f t="shared" si="0"/>
        <v>3308513475</v>
      </c>
      <c r="AW33" s="845">
        <f t="shared" si="0"/>
        <v>2723902364</v>
      </c>
      <c r="AX33" s="854">
        <v>26951836068</v>
      </c>
      <c r="AY33" s="855">
        <v>25179216709</v>
      </c>
      <c r="AZ33" s="845">
        <f t="shared" si="1"/>
        <v>30260349543</v>
      </c>
      <c r="BA33" s="845">
        <f t="shared" si="1"/>
        <v>27903119073</v>
      </c>
    </row>
    <row r="34" spans="1:54" x14ac:dyDescent="0.3">
      <c r="A34" s="1075" t="s">
        <v>221</v>
      </c>
      <c r="B34" s="1067">
        <v>245694528</v>
      </c>
      <c r="C34" s="1068">
        <v>255152648</v>
      </c>
      <c r="D34" s="70">
        <v>8852399</v>
      </c>
      <c r="E34" s="71">
        <v>9397023</v>
      </c>
      <c r="F34" s="857">
        <v>38776511</v>
      </c>
      <c r="G34" s="858">
        <v>45070086</v>
      </c>
      <c r="H34" s="857">
        <v>213755040</v>
      </c>
      <c r="I34" s="858">
        <v>219379680</v>
      </c>
      <c r="J34" s="857">
        <v>10130056</v>
      </c>
      <c r="K34" s="858">
        <v>12192141</v>
      </c>
      <c r="L34" s="857">
        <v>85641340</v>
      </c>
      <c r="M34" s="858">
        <v>83619426</v>
      </c>
      <c r="N34" s="857">
        <v>3402320</v>
      </c>
      <c r="O34" s="858">
        <v>2826496</v>
      </c>
      <c r="P34" s="857">
        <v>5075357</v>
      </c>
      <c r="Q34" s="858">
        <v>3071704</v>
      </c>
      <c r="R34" s="857">
        <v>19515255</v>
      </c>
      <c r="S34" s="858">
        <v>22025965</v>
      </c>
      <c r="T34" s="857">
        <v>5972610</v>
      </c>
      <c r="U34" s="858">
        <v>6460900</v>
      </c>
      <c r="V34" s="857">
        <v>597049598</v>
      </c>
      <c r="W34" s="858">
        <v>589528980</v>
      </c>
      <c r="X34" s="857">
        <v>1036896214</v>
      </c>
      <c r="Y34" s="858">
        <v>982891824</v>
      </c>
      <c r="Z34" s="50">
        <v>25871465</v>
      </c>
      <c r="AA34" s="52">
        <v>22706433</v>
      </c>
      <c r="AB34" s="857">
        <v>38490396</v>
      </c>
      <c r="AC34" s="858">
        <v>36882150</v>
      </c>
      <c r="AD34" s="859">
        <v>128565107</v>
      </c>
      <c r="AE34" s="861">
        <v>128151614</v>
      </c>
      <c r="AF34" s="857">
        <v>183990821</v>
      </c>
      <c r="AG34" s="858">
        <v>170981206</v>
      </c>
      <c r="AH34" s="857">
        <v>61773020</v>
      </c>
      <c r="AI34" s="858">
        <v>66363174</v>
      </c>
      <c r="AJ34" s="857">
        <v>67748660</v>
      </c>
      <c r="AK34" s="858">
        <v>74791074</v>
      </c>
      <c r="AL34" s="850"/>
      <c r="AM34" s="851"/>
      <c r="AN34" s="685">
        <v>648099847</v>
      </c>
      <c r="AO34" s="686">
        <v>524361334</v>
      </c>
      <c r="AP34" s="852">
        <v>5473733</v>
      </c>
      <c r="AQ34" s="853">
        <v>6904429</v>
      </c>
      <c r="AR34" s="854">
        <v>26160624</v>
      </c>
      <c r="AS34" s="855">
        <v>28225238</v>
      </c>
      <c r="AT34" s="857">
        <v>98257195</v>
      </c>
      <c r="AU34" s="858">
        <v>94596920</v>
      </c>
      <c r="AV34" s="845">
        <f t="shared" si="0"/>
        <v>3555192096</v>
      </c>
      <c r="AW34" s="845">
        <f t="shared" si="0"/>
        <v>3385580445</v>
      </c>
      <c r="AX34" s="848">
        <v>824703019</v>
      </c>
      <c r="AY34" s="849">
        <v>1021455181</v>
      </c>
      <c r="AZ34" s="845">
        <f t="shared" si="1"/>
        <v>4379895115</v>
      </c>
      <c r="BA34" s="845">
        <f t="shared" si="1"/>
        <v>4407035626</v>
      </c>
    </row>
    <row r="35" spans="1:54" x14ac:dyDescent="0.3">
      <c r="A35" s="1075" t="s">
        <v>222</v>
      </c>
      <c r="B35" s="1069">
        <v>988318</v>
      </c>
      <c r="C35" s="1070">
        <v>709325</v>
      </c>
      <c r="D35" s="47">
        <v>615437</v>
      </c>
      <c r="E35" s="48">
        <v>515866</v>
      </c>
      <c r="G35" s="849"/>
      <c r="H35" s="848">
        <v>2934389</v>
      </c>
      <c r="I35" s="849">
        <v>2187495</v>
      </c>
      <c r="J35" s="848">
        <v>85025</v>
      </c>
      <c r="K35" s="849">
        <v>41650</v>
      </c>
      <c r="L35" s="848">
        <v>2943</v>
      </c>
      <c r="M35" s="849">
        <v>525</v>
      </c>
      <c r="N35" s="848">
        <v>155317</v>
      </c>
      <c r="O35" s="849">
        <v>33320</v>
      </c>
      <c r="P35" s="848">
        <v>37188</v>
      </c>
      <c r="Q35" s="849">
        <v>14435</v>
      </c>
      <c r="R35" s="848">
        <v>1271</v>
      </c>
      <c r="S35" s="849">
        <v>1411</v>
      </c>
      <c r="T35" s="848">
        <v>95646</v>
      </c>
      <c r="U35" s="849">
        <v>56330</v>
      </c>
      <c r="V35" s="848">
        <v>476131</v>
      </c>
      <c r="W35" s="849">
        <v>164740</v>
      </c>
      <c r="X35" s="848">
        <v>2296399</v>
      </c>
      <c r="Y35" s="849">
        <v>1251118</v>
      </c>
      <c r="Z35" s="57">
        <v>32503</v>
      </c>
      <c r="AA35" s="59">
        <v>6716</v>
      </c>
      <c r="AB35" s="848">
        <v>62929</v>
      </c>
      <c r="AC35" s="849">
        <v>45389</v>
      </c>
      <c r="AD35" s="848">
        <v>853304</v>
      </c>
      <c r="AE35" s="849">
        <v>1326538</v>
      </c>
      <c r="AF35" s="848">
        <v>2964857</v>
      </c>
      <c r="AG35" s="849">
        <v>2232576</v>
      </c>
      <c r="AH35" s="848">
        <v>428125</v>
      </c>
      <c r="AI35" s="849">
        <v>348893</v>
      </c>
      <c r="AJ35" s="848">
        <v>325750</v>
      </c>
      <c r="AK35" s="849">
        <v>249131</v>
      </c>
      <c r="AL35" s="850"/>
      <c r="AM35" s="851"/>
      <c r="AN35" s="685">
        <v>1712288</v>
      </c>
      <c r="AO35" s="686">
        <v>1731505</v>
      </c>
      <c r="AP35" s="852">
        <v>164553</v>
      </c>
      <c r="AQ35" s="853">
        <v>76205</v>
      </c>
      <c r="AR35" s="854">
        <v>81420</v>
      </c>
      <c r="AS35" s="855">
        <v>90043</v>
      </c>
      <c r="AT35" s="848">
        <v>3500237</v>
      </c>
      <c r="AU35" s="849">
        <v>3261770</v>
      </c>
      <c r="AV35" s="845">
        <f>SUM(B35+D35+F36+H35+J35+L35+N35+P35+R35+T35+V35+X35+Z35+AB35+AD35+AF35+AH35+AJ35+AL35+AN35+AP35+AR35+AT35)</f>
        <v>17931723</v>
      </c>
      <c r="AW35" s="845">
        <f t="shared" si="0"/>
        <v>14344981</v>
      </c>
      <c r="AX35" s="848">
        <v>1042082894</v>
      </c>
      <c r="AY35" s="849">
        <v>1037720835</v>
      </c>
      <c r="AZ35" s="845">
        <f t="shared" si="1"/>
        <v>1060014617</v>
      </c>
      <c r="BA35" s="845">
        <f t="shared" si="1"/>
        <v>1052065816</v>
      </c>
    </row>
    <row r="36" spans="1:54" x14ac:dyDescent="0.3">
      <c r="A36" s="1075" t="s">
        <v>223</v>
      </c>
      <c r="B36" s="1069">
        <v>787484</v>
      </c>
      <c r="C36" s="1070">
        <v>768060</v>
      </c>
      <c r="D36" s="47">
        <v>252155</v>
      </c>
      <c r="E36" s="48">
        <v>158985</v>
      </c>
      <c r="F36" s="848">
        <v>117693</v>
      </c>
      <c r="G36" s="849">
        <v>129215</v>
      </c>
      <c r="H36" s="848">
        <v>2459364</v>
      </c>
      <c r="I36" s="849">
        <v>2361702</v>
      </c>
      <c r="J36" s="848">
        <v>276893</v>
      </c>
      <c r="K36" s="849">
        <v>208654</v>
      </c>
      <c r="L36" s="848">
        <v>97654</v>
      </c>
      <c r="M36" s="849">
        <v>82508</v>
      </c>
      <c r="N36" s="848">
        <v>527286</v>
      </c>
      <c r="O36" s="849">
        <v>507120</v>
      </c>
      <c r="P36" s="848">
        <v>954478</v>
      </c>
      <c r="Q36" s="849">
        <v>809797</v>
      </c>
      <c r="R36" s="848">
        <v>397308</v>
      </c>
      <c r="S36" s="849">
        <v>396493</v>
      </c>
      <c r="T36" s="848">
        <v>516762</v>
      </c>
      <c r="U36" s="849">
        <v>438232</v>
      </c>
      <c r="V36" s="848">
        <v>3351135</v>
      </c>
      <c r="W36" s="849">
        <v>3443473</v>
      </c>
      <c r="X36" s="848">
        <v>4684986</v>
      </c>
      <c r="Y36" s="849">
        <v>3921360</v>
      </c>
      <c r="Z36" s="57">
        <v>1388087</v>
      </c>
      <c r="AA36" s="59">
        <v>1432425</v>
      </c>
      <c r="AB36" s="848">
        <v>196561</v>
      </c>
      <c r="AC36" s="849">
        <v>173566</v>
      </c>
      <c r="AD36" s="848">
        <v>777648</v>
      </c>
      <c r="AE36" s="849">
        <v>604404</v>
      </c>
      <c r="AF36" s="848">
        <v>1667868</v>
      </c>
      <c r="AG36" s="849">
        <v>1581831</v>
      </c>
      <c r="AH36" s="848">
        <v>821717</v>
      </c>
      <c r="AI36" s="849">
        <v>748094</v>
      </c>
      <c r="AJ36" s="848">
        <v>312725</v>
      </c>
      <c r="AK36" s="849">
        <v>282070</v>
      </c>
      <c r="AL36" s="850"/>
      <c r="AM36" s="851"/>
      <c r="AN36" s="685">
        <v>5989931</v>
      </c>
      <c r="AO36" s="686">
        <v>5549410</v>
      </c>
      <c r="AP36" s="852">
        <v>578915</v>
      </c>
      <c r="AQ36" s="853">
        <v>409775</v>
      </c>
      <c r="AR36" s="854">
        <v>164371</v>
      </c>
      <c r="AS36" s="855">
        <v>186941</v>
      </c>
      <c r="AT36" s="848">
        <v>1908068</v>
      </c>
      <c r="AU36" s="849">
        <v>1707474</v>
      </c>
      <c r="AV36" s="845" t="e">
        <f>SUM(B36+D36+#REF!+H36+J36+L36+N36+P36+R36+T36+V36+X36+Z36+AB36+AD36+AF36+AH36+AJ36+AL36+AN36+AP36+AR36+AT36)</f>
        <v>#REF!</v>
      </c>
      <c r="AW36" s="845">
        <f t="shared" si="0"/>
        <v>25901589</v>
      </c>
      <c r="AX36" s="848">
        <v>27539038</v>
      </c>
      <c r="AY36" s="849">
        <v>26856233</v>
      </c>
      <c r="AZ36" s="845" t="e">
        <f t="shared" si="1"/>
        <v>#REF!</v>
      </c>
      <c r="BA36" s="845">
        <f t="shared" si="1"/>
        <v>52757822</v>
      </c>
    </row>
    <row r="37" spans="1:54" x14ac:dyDescent="0.3">
      <c r="A37" s="1074" t="s">
        <v>224</v>
      </c>
      <c r="B37" s="1069"/>
      <c r="C37" s="1070"/>
      <c r="D37" s="47"/>
      <c r="E37" s="48"/>
      <c r="F37" s="848"/>
      <c r="G37" s="849"/>
      <c r="H37" s="848"/>
      <c r="I37" s="849"/>
      <c r="J37" s="848"/>
      <c r="K37" s="849"/>
      <c r="L37" s="848"/>
      <c r="M37" s="849"/>
      <c r="N37" s="848"/>
      <c r="O37" s="849"/>
      <c r="P37" s="848"/>
      <c r="Q37" s="849"/>
      <c r="R37" s="848"/>
      <c r="S37" s="849"/>
      <c r="T37" s="848"/>
      <c r="U37" s="849"/>
      <c r="V37" s="848"/>
      <c r="W37" s="849"/>
      <c r="X37" s="848"/>
      <c r="Y37" s="849"/>
      <c r="Z37" s="57"/>
      <c r="AA37" s="59"/>
      <c r="AB37" s="848"/>
      <c r="AC37" s="849"/>
      <c r="AD37" s="848"/>
      <c r="AE37" s="849"/>
      <c r="AF37" s="848"/>
      <c r="AG37" s="849"/>
      <c r="AH37" s="848"/>
      <c r="AI37" s="849"/>
      <c r="AJ37" s="848"/>
      <c r="AK37" s="849"/>
      <c r="AL37" s="850"/>
      <c r="AM37" s="851"/>
      <c r="AN37" s="47"/>
      <c r="AO37" s="48"/>
      <c r="AP37" s="852"/>
      <c r="AQ37" s="853"/>
      <c r="AR37" s="854"/>
      <c r="AS37" s="855"/>
      <c r="AT37" s="848"/>
      <c r="AU37" s="849"/>
      <c r="AV37" s="845">
        <f t="shared" si="0"/>
        <v>0</v>
      </c>
      <c r="AW37" s="845">
        <f t="shared" si="0"/>
        <v>0</v>
      </c>
      <c r="AX37" s="848"/>
      <c r="AY37" s="849"/>
      <c r="AZ37" s="845">
        <f t="shared" si="1"/>
        <v>0</v>
      </c>
      <c r="BA37" s="845">
        <f t="shared" si="1"/>
        <v>0</v>
      </c>
    </row>
    <row r="38" spans="1:54" x14ac:dyDescent="0.3">
      <c r="A38" s="1075" t="s">
        <v>225</v>
      </c>
      <c r="B38" s="1069">
        <v>4046217</v>
      </c>
      <c r="C38" s="1070">
        <v>4630161</v>
      </c>
      <c r="D38" s="47">
        <v>331400</v>
      </c>
      <c r="E38" s="48">
        <v>196336</v>
      </c>
      <c r="F38" s="848">
        <v>302473</v>
      </c>
      <c r="G38" s="849">
        <v>391935</v>
      </c>
      <c r="H38" s="848">
        <v>4787726</v>
      </c>
      <c r="I38" s="849">
        <v>1935551</v>
      </c>
      <c r="J38" s="848">
        <v>584681</v>
      </c>
      <c r="K38" s="849">
        <v>808846</v>
      </c>
      <c r="L38" s="848">
        <v>1629796</v>
      </c>
      <c r="M38" s="849">
        <v>1576280</v>
      </c>
      <c r="N38" s="848">
        <v>484607</v>
      </c>
      <c r="O38" s="849">
        <v>294081</v>
      </c>
      <c r="P38" s="848">
        <v>357269</v>
      </c>
      <c r="Q38" s="849">
        <v>285012</v>
      </c>
      <c r="R38" s="848">
        <v>898164</v>
      </c>
      <c r="S38" s="849">
        <v>1111328</v>
      </c>
      <c r="T38" s="848">
        <v>340706</v>
      </c>
      <c r="U38" s="849">
        <v>320715</v>
      </c>
      <c r="V38" s="848">
        <v>5197305</v>
      </c>
      <c r="W38" s="849">
        <v>5223181</v>
      </c>
      <c r="X38" s="848">
        <v>2356013</v>
      </c>
      <c r="Y38" s="849">
        <v>844359</v>
      </c>
      <c r="Z38" s="57">
        <v>727620</v>
      </c>
      <c r="AA38" s="59">
        <v>714010</v>
      </c>
      <c r="AB38" s="848">
        <v>640697</v>
      </c>
      <c r="AC38" s="849">
        <v>279184</v>
      </c>
      <c r="AD38" s="848">
        <v>1612003</v>
      </c>
      <c r="AE38" s="849">
        <v>1291201</v>
      </c>
      <c r="AF38" s="848">
        <v>2920976</v>
      </c>
      <c r="AG38" s="849">
        <v>4405018</v>
      </c>
      <c r="AH38" s="848">
        <v>1706090</v>
      </c>
      <c r="AI38" s="849">
        <v>1782908</v>
      </c>
      <c r="AJ38" s="848">
        <v>1592822</v>
      </c>
      <c r="AK38" s="849">
        <v>1635025</v>
      </c>
      <c r="AL38" s="850"/>
      <c r="AM38" s="851"/>
      <c r="AN38" s="685">
        <v>21748797</v>
      </c>
      <c r="AO38" s="686">
        <v>25201530</v>
      </c>
      <c r="AP38" s="852">
        <v>1196770</v>
      </c>
      <c r="AQ38" s="853">
        <v>1428938</v>
      </c>
      <c r="AR38" s="854">
        <v>682346</v>
      </c>
      <c r="AS38" s="855">
        <v>383749</v>
      </c>
      <c r="AT38" s="848">
        <v>1532701</v>
      </c>
      <c r="AU38" s="849">
        <v>1072314</v>
      </c>
      <c r="AV38" s="845">
        <f t="shared" si="0"/>
        <v>55677179</v>
      </c>
      <c r="AW38" s="845">
        <f t="shared" si="0"/>
        <v>55811662</v>
      </c>
      <c r="AX38" s="848">
        <v>191320414</v>
      </c>
      <c r="AY38" s="849">
        <v>147759997</v>
      </c>
      <c r="AZ38" s="845">
        <f t="shared" si="1"/>
        <v>246997593</v>
      </c>
      <c r="BA38" s="845">
        <f t="shared" si="1"/>
        <v>203571659</v>
      </c>
    </row>
    <row r="39" spans="1:54" x14ac:dyDescent="0.3">
      <c r="A39" s="1075" t="s">
        <v>226</v>
      </c>
      <c r="B39" s="1067">
        <v>10672552</v>
      </c>
      <c r="C39" s="1068">
        <v>8844842</v>
      </c>
      <c r="D39" s="70">
        <v>1537137</v>
      </c>
      <c r="E39" s="74">
        <v>1169811</v>
      </c>
      <c r="F39" s="857">
        <v>4191516</v>
      </c>
      <c r="G39" s="861">
        <v>4013128</v>
      </c>
      <c r="H39" s="857">
        <v>21417567</v>
      </c>
      <c r="I39" s="861">
        <v>20580292</v>
      </c>
      <c r="J39" s="857">
        <v>3705624</v>
      </c>
      <c r="K39" s="861">
        <v>3011567</v>
      </c>
      <c r="L39" s="857">
        <v>2503304</v>
      </c>
      <c r="M39" s="861">
        <v>1806235</v>
      </c>
      <c r="N39" s="857">
        <v>3069882</v>
      </c>
      <c r="O39" s="861">
        <v>2678435</v>
      </c>
      <c r="P39" s="857">
        <v>2013872</v>
      </c>
      <c r="Q39" s="861">
        <v>1539116</v>
      </c>
      <c r="R39" s="857">
        <v>5491155</v>
      </c>
      <c r="S39" s="861">
        <v>4994630</v>
      </c>
      <c r="T39" s="857">
        <v>1957073</v>
      </c>
      <c r="U39" s="861">
        <v>2117372</v>
      </c>
      <c r="V39" s="857">
        <v>27357676</v>
      </c>
      <c r="W39" s="861">
        <v>24115790</v>
      </c>
      <c r="X39" s="857">
        <v>24021015</v>
      </c>
      <c r="Y39" s="861">
        <v>23182713</v>
      </c>
      <c r="Z39" s="50">
        <v>3789184</v>
      </c>
      <c r="AA39" s="863">
        <v>3432822</v>
      </c>
      <c r="AB39" s="857">
        <v>5898513</v>
      </c>
      <c r="AC39" s="861">
        <v>3896110</v>
      </c>
      <c r="AD39" s="859">
        <v>5149923</v>
      </c>
      <c r="AE39" s="861">
        <v>4952236</v>
      </c>
      <c r="AF39" s="857">
        <v>16134265</v>
      </c>
      <c r="AG39" s="861">
        <v>19043478</v>
      </c>
      <c r="AH39" s="857">
        <v>8360718</v>
      </c>
      <c r="AI39" s="861">
        <v>6970468</v>
      </c>
      <c r="AJ39" s="857">
        <v>8687728</v>
      </c>
      <c r="AK39" s="861">
        <v>10511908</v>
      </c>
      <c r="AL39" s="850"/>
      <c r="AM39" s="864"/>
      <c r="AN39" s="685">
        <v>37492789</v>
      </c>
      <c r="AO39" s="686">
        <v>38135247</v>
      </c>
      <c r="AP39" s="852">
        <v>2756446</v>
      </c>
      <c r="AQ39" s="865">
        <v>2553554</v>
      </c>
      <c r="AR39" s="854">
        <v>3451935</v>
      </c>
      <c r="AS39" s="866">
        <v>3355703</v>
      </c>
      <c r="AT39" s="857">
        <v>7195504</v>
      </c>
      <c r="AU39" s="861">
        <v>8832617</v>
      </c>
      <c r="AV39" s="845">
        <f t="shared" si="0"/>
        <v>206855378</v>
      </c>
      <c r="AW39" s="845">
        <f t="shared" si="0"/>
        <v>199738074</v>
      </c>
      <c r="AX39" s="848">
        <v>1259154512</v>
      </c>
      <c r="AY39" s="867">
        <v>1092294127</v>
      </c>
      <c r="AZ39" s="845">
        <f t="shared" si="1"/>
        <v>1466009890</v>
      </c>
      <c r="BA39" s="845">
        <f t="shared" si="1"/>
        <v>1292032201</v>
      </c>
    </row>
    <row r="40" spans="1:54" s="269" customFormat="1" ht="13.5" x14ac:dyDescent="0.25">
      <c r="A40" s="1077" t="s">
        <v>227</v>
      </c>
      <c r="B40" s="1067">
        <f>B38+B39</f>
        <v>14718769</v>
      </c>
      <c r="C40" s="1068">
        <f>C38+C39</f>
        <v>13475003</v>
      </c>
      <c r="D40" s="70"/>
      <c r="E40" s="71"/>
      <c r="F40" s="857">
        <f t="shared" ref="F40:K40" si="3">F38+F39</f>
        <v>4493989</v>
      </c>
      <c r="G40" s="857">
        <f t="shared" si="3"/>
        <v>4405063</v>
      </c>
      <c r="H40" s="857">
        <f t="shared" si="3"/>
        <v>26205293</v>
      </c>
      <c r="I40" s="857">
        <f t="shared" si="3"/>
        <v>22515843</v>
      </c>
      <c r="J40" s="857">
        <f t="shared" si="3"/>
        <v>4290305</v>
      </c>
      <c r="K40" s="857">
        <f t="shared" si="3"/>
        <v>3820413</v>
      </c>
      <c r="L40" s="857">
        <v>4133100</v>
      </c>
      <c r="M40" s="858">
        <v>3382515</v>
      </c>
      <c r="N40" s="857">
        <v>3554489</v>
      </c>
      <c r="O40" s="858">
        <v>2972516</v>
      </c>
      <c r="P40" s="857">
        <v>2371141</v>
      </c>
      <c r="Q40" s="858">
        <v>1824128</v>
      </c>
      <c r="R40" s="857">
        <f>R38+R39</f>
        <v>6389319</v>
      </c>
      <c r="S40" s="857">
        <f>S38+S39</f>
        <v>6105958</v>
      </c>
      <c r="T40" s="857">
        <v>2297779</v>
      </c>
      <c r="U40" s="858">
        <v>2438087</v>
      </c>
      <c r="V40" s="857">
        <v>32554981</v>
      </c>
      <c r="W40" s="858">
        <v>29338971</v>
      </c>
      <c r="X40" s="857">
        <v>26377028</v>
      </c>
      <c r="Y40" s="858">
        <v>24027072</v>
      </c>
      <c r="Z40" s="868"/>
      <c r="AA40" s="869"/>
      <c r="AB40" s="857">
        <v>6539211</v>
      </c>
      <c r="AC40" s="858">
        <v>4175295</v>
      </c>
      <c r="AD40" s="857">
        <v>6761926</v>
      </c>
      <c r="AE40" s="858">
        <v>6243437</v>
      </c>
      <c r="AF40" s="857">
        <v>19055241</v>
      </c>
      <c r="AG40" s="858">
        <v>23448496</v>
      </c>
      <c r="AH40" s="857">
        <f>AH38+AH39</f>
        <v>10066808</v>
      </c>
      <c r="AI40" s="857">
        <f>AI38+AI39</f>
        <v>8753376</v>
      </c>
      <c r="AJ40" s="857">
        <f>AJ38+AJ39</f>
        <v>10280550</v>
      </c>
      <c r="AK40" s="857">
        <f>AK38+AK39</f>
        <v>12146933</v>
      </c>
      <c r="AL40" s="870"/>
      <c r="AM40" s="871"/>
      <c r="AN40" s="860">
        <v>59241586</v>
      </c>
      <c r="AO40" s="687">
        <v>63336777</v>
      </c>
      <c r="AP40" s="872">
        <f t="shared" ref="AP40:AU40" si="4">AP38+AP39</f>
        <v>3953216</v>
      </c>
      <c r="AQ40" s="872">
        <f t="shared" si="4"/>
        <v>3982492</v>
      </c>
      <c r="AR40" s="873">
        <f t="shared" si="4"/>
        <v>4134281</v>
      </c>
      <c r="AS40" s="873">
        <f t="shared" si="4"/>
        <v>3739452</v>
      </c>
      <c r="AT40" s="857">
        <f t="shared" si="4"/>
        <v>8728205</v>
      </c>
      <c r="AU40" s="857">
        <f t="shared" si="4"/>
        <v>9904931</v>
      </c>
      <c r="AV40" s="845">
        <f t="shared" si="0"/>
        <v>256147217</v>
      </c>
      <c r="AW40" s="845">
        <f t="shared" si="0"/>
        <v>250036758</v>
      </c>
      <c r="AX40" s="857">
        <f>AX38+AX39</f>
        <v>1450474926</v>
      </c>
      <c r="AY40" s="858">
        <f>AY38+AY39</f>
        <v>1240054124</v>
      </c>
      <c r="AZ40" s="845">
        <f t="shared" si="1"/>
        <v>1706622143</v>
      </c>
      <c r="BA40" s="845">
        <f t="shared" si="1"/>
        <v>1490090882</v>
      </c>
      <c r="BB40" s="874"/>
    </row>
    <row r="41" spans="1:54" x14ac:dyDescent="0.3">
      <c r="A41" s="1074" t="s">
        <v>228</v>
      </c>
      <c r="B41" s="1069">
        <v>8862923</v>
      </c>
      <c r="C41" s="1070">
        <v>7638173</v>
      </c>
      <c r="D41" s="47">
        <v>1975534</v>
      </c>
      <c r="E41" s="48">
        <v>1317918</v>
      </c>
      <c r="F41" s="848">
        <v>4110173</v>
      </c>
      <c r="G41" s="849">
        <v>4231727</v>
      </c>
      <c r="H41" s="848">
        <v>15175790</v>
      </c>
      <c r="I41" s="849">
        <v>15345716</v>
      </c>
      <c r="J41" s="848">
        <v>3336985</v>
      </c>
      <c r="K41" s="849">
        <v>2923981</v>
      </c>
      <c r="L41" s="848">
        <v>3406852</v>
      </c>
      <c r="M41" s="849">
        <v>2749538</v>
      </c>
      <c r="N41" s="848">
        <v>3230217</v>
      </c>
      <c r="O41" s="849">
        <v>3718991</v>
      </c>
      <c r="P41" s="848">
        <v>1719269</v>
      </c>
      <c r="Q41" s="849">
        <v>1430032</v>
      </c>
      <c r="R41" s="848">
        <v>4574367</v>
      </c>
      <c r="S41" s="849">
        <v>4241673</v>
      </c>
      <c r="T41" s="848">
        <v>2164857</v>
      </c>
      <c r="U41" s="849">
        <v>2271411</v>
      </c>
      <c r="V41" s="848">
        <v>39350225</v>
      </c>
      <c r="W41" s="849">
        <v>34823090</v>
      </c>
      <c r="X41" s="848">
        <v>29683967</v>
      </c>
      <c r="Y41" s="849">
        <v>27648491</v>
      </c>
      <c r="Z41" s="50">
        <v>2335970</v>
      </c>
      <c r="AA41" s="52">
        <v>2059740</v>
      </c>
      <c r="AB41" s="848">
        <v>3356128</v>
      </c>
      <c r="AC41" s="849">
        <v>2586508</v>
      </c>
      <c r="AD41" s="848">
        <v>8860520</v>
      </c>
      <c r="AE41" s="849">
        <v>8907029</v>
      </c>
      <c r="AF41" s="848">
        <v>16760349</v>
      </c>
      <c r="AG41" s="849">
        <v>17439218</v>
      </c>
      <c r="AH41" s="848">
        <v>8574295</v>
      </c>
      <c r="AI41" s="849">
        <v>8939130</v>
      </c>
      <c r="AJ41" s="848">
        <v>9872042</v>
      </c>
      <c r="AK41" s="849">
        <v>10674389</v>
      </c>
      <c r="AL41" s="850"/>
      <c r="AM41" s="851"/>
      <c r="AN41" s="685">
        <v>31650582</v>
      </c>
      <c r="AO41" s="686">
        <v>35229720</v>
      </c>
      <c r="AP41" s="852">
        <v>2464706</v>
      </c>
      <c r="AQ41" s="853">
        <v>2732925</v>
      </c>
      <c r="AR41" s="854">
        <v>1620150</v>
      </c>
      <c r="AS41" s="855">
        <v>2031908</v>
      </c>
      <c r="AT41" s="848">
        <v>9292521</v>
      </c>
      <c r="AU41" s="849">
        <v>7507820</v>
      </c>
      <c r="AV41" s="845">
        <f t="shared" si="0"/>
        <v>212378422</v>
      </c>
      <c r="AW41" s="845">
        <f t="shared" si="0"/>
        <v>206449128</v>
      </c>
      <c r="AX41" s="848">
        <v>474982623</v>
      </c>
      <c r="AY41" s="849">
        <v>431109086</v>
      </c>
      <c r="AZ41" s="845">
        <f t="shared" si="1"/>
        <v>687361045</v>
      </c>
      <c r="BA41" s="845">
        <f t="shared" si="1"/>
        <v>637558214</v>
      </c>
    </row>
    <row r="42" spans="1:54" x14ac:dyDescent="0.3">
      <c r="A42" s="1075" t="s">
        <v>229</v>
      </c>
      <c r="B42" s="1069">
        <v>628143</v>
      </c>
      <c r="C42" s="1070">
        <v>269210</v>
      </c>
      <c r="D42" s="47">
        <v>22125</v>
      </c>
      <c r="E42" s="48">
        <v>23459</v>
      </c>
      <c r="F42" s="848">
        <v>150667</v>
      </c>
      <c r="G42" s="849">
        <v>168866</v>
      </c>
      <c r="H42" s="848">
        <v>5572404</v>
      </c>
      <c r="I42" s="849">
        <v>4602021</v>
      </c>
      <c r="J42" s="848">
        <v>231064</v>
      </c>
      <c r="K42" s="849">
        <v>148476</v>
      </c>
      <c r="L42" s="848">
        <v>46593</v>
      </c>
      <c r="M42" s="849">
        <v>34329</v>
      </c>
      <c r="N42" s="848">
        <v>3504</v>
      </c>
      <c r="O42" s="849">
        <v>124159</v>
      </c>
      <c r="P42" s="848">
        <v>317371</v>
      </c>
      <c r="Q42" s="849">
        <v>286592</v>
      </c>
      <c r="R42" s="848">
        <v>247593</v>
      </c>
      <c r="S42" s="849">
        <v>127134</v>
      </c>
      <c r="T42" s="848">
        <v>65792</v>
      </c>
      <c r="U42" s="849">
        <v>39761</v>
      </c>
      <c r="V42" s="848">
        <v>512989</v>
      </c>
      <c r="W42" s="849">
        <v>394956</v>
      </c>
      <c r="X42" s="848">
        <v>268753</v>
      </c>
      <c r="Y42" s="849">
        <v>191564</v>
      </c>
      <c r="Z42" s="50">
        <v>69225</v>
      </c>
      <c r="AA42" s="52">
        <v>45017</v>
      </c>
      <c r="AB42" s="848">
        <v>10124</v>
      </c>
      <c r="AC42" s="849">
        <v>15730</v>
      </c>
      <c r="AD42" s="848">
        <v>379406</v>
      </c>
      <c r="AE42" s="849">
        <v>345392</v>
      </c>
      <c r="AF42" s="848">
        <v>497371</v>
      </c>
      <c r="AG42" s="849">
        <v>401452</v>
      </c>
      <c r="AH42" s="848">
        <v>290024</v>
      </c>
      <c r="AI42" s="849">
        <v>254090</v>
      </c>
      <c r="AJ42" s="848">
        <v>255604</v>
      </c>
      <c r="AK42" s="849">
        <v>73930</v>
      </c>
      <c r="AL42" s="850"/>
      <c r="AM42" s="851"/>
      <c r="AN42" s="685">
        <v>2012773</v>
      </c>
      <c r="AO42" s="686">
        <v>1714087</v>
      </c>
      <c r="AP42" s="852">
        <v>223435</v>
      </c>
      <c r="AQ42" s="853">
        <v>143350</v>
      </c>
      <c r="AR42" s="854">
        <v>23085</v>
      </c>
      <c r="AS42" s="855">
        <v>23814</v>
      </c>
      <c r="AT42" s="848">
        <v>333531</v>
      </c>
      <c r="AU42" s="849">
        <v>339147</v>
      </c>
      <c r="AV42" s="845">
        <f t="shared" si="0"/>
        <v>12161576</v>
      </c>
      <c r="AW42" s="845">
        <f t="shared" si="0"/>
        <v>9766536</v>
      </c>
      <c r="AX42" s="848">
        <v>149430560</v>
      </c>
      <c r="AY42" s="849">
        <v>149430560</v>
      </c>
      <c r="AZ42" s="845">
        <f t="shared" si="1"/>
        <v>161592136</v>
      </c>
      <c r="BA42" s="845">
        <f t="shared" si="1"/>
        <v>159197096</v>
      </c>
    </row>
    <row r="43" spans="1:54" s="269" customFormat="1" ht="13.5" x14ac:dyDescent="0.25">
      <c r="A43" s="1077" t="s">
        <v>230</v>
      </c>
      <c r="B43" s="1067">
        <f>B41+B42</f>
        <v>9491066</v>
      </c>
      <c r="C43" s="1068">
        <f>C41+C42</f>
        <v>7907383</v>
      </c>
      <c r="D43" s="70"/>
      <c r="E43" s="71"/>
      <c r="F43" s="857">
        <f t="shared" ref="F43:K43" si="5">F41+F42</f>
        <v>4260840</v>
      </c>
      <c r="G43" s="858">
        <f t="shared" si="5"/>
        <v>4400593</v>
      </c>
      <c r="H43" s="857">
        <f t="shared" si="5"/>
        <v>20748194</v>
      </c>
      <c r="I43" s="857">
        <f t="shared" si="5"/>
        <v>19947737</v>
      </c>
      <c r="J43" s="857">
        <f t="shared" si="5"/>
        <v>3568049</v>
      </c>
      <c r="K43" s="857">
        <f t="shared" si="5"/>
        <v>3072457</v>
      </c>
      <c r="L43" s="857">
        <v>3453445</v>
      </c>
      <c r="M43" s="858">
        <v>2783867</v>
      </c>
      <c r="N43" s="857">
        <v>3233721</v>
      </c>
      <c r="O43" s="858">
        <v>3843150</v>
      </c>
      <c r="P43" s="857">
        <v>2036639</v>
      </c>
      <c r="Q43" s="858">
        <v>1716625</v>
      </c>
      <c r="R43" s="857">
        <f>R41+R42</f>
        <v>4821960</v>
      </c>
      <c r="S43" s="857">
        <f>S41+S42</f>
        <v>4368807</v>
      </c>
      <c r="T43" s="857">
        <v>2230649</v>
      </c>
      <c r="U43" s="858">
        <v>2311172</v>
      </c>
      <c r="V43" s="857">
        <v>39863214</v>
      </c>
      <c r="W43" s="858">
        <v>35218046</v>
      </c>
      <c r="X43" s="857">
        <v>29952720</v>
      </c>
      <c r="Y43" s="858">
        <v>27840055</v>
      </c>
      <c r="Z43" s="868"/>
      <c r="AA43" s="869"/>
      <c r="AB43" s="857">
        <v>3366253</v>
      </c>
      <c r="AC43" s="858">
        <v>2602238</v>
      </c>
      <c r="AD43" s="857">
        <v>9239926</v>
      </c>
      <c r="AE43" s="858">
        <v>9252421</v>
      </c>
      <c r="AF43" s="857">
        <v>17247720</v>
      </c>
      <c r="AG43" s="858">
        <v>17840670</v>
      </c>
      <c r="AH43" s="857">
        <v>8864319</v>
      </c>
      <c r="AI43" s="858">
        <v>9193220</v>
      </c>
      <c r="AJ43" s="857">
        <f>AJ41+AJ42</f>
        <v>10127646</v>
      </c>
      <c r="AK43" s="857">
        <f>AK41+AK42</f>
        <v>10748319</v>
      </c>
      <c r="AL43" s="870"/>
      <c r="AM43" s="871"/>
      <c r="AN43" s="860">
        <v>33663354</v>
      </c>
      <c r="AO43" s="687">
        <v>36943808</v>
      </c>
      <c r="AP43" s="872">
        <f t="shared" ref="AP43:AU43" si="6">AP41+AP42</f>
        <v>2688141</v>
      </c>
      <c r="AQ43" s="875">
        <f t="shared" si="6"/>
        <v>2876275</v>
      </c>
      <c r="AR43" s="873">
        <f t="shared" si="6"/>
        <v>1643235</v>
      </c>
      <c r="AS43" s="876">
        <f t="shared" si="6"/>
        <v>2055722</v>
      </c>
      <c r="AT43" s="857">
        <f t="shared" si="6"/>
        <v>9626052</v>
      </c>
      <c r="AU43" s="858">
        <f t="shared" si="6"/>
        <v>7846967</v>
      </c>
      <c r="AV43" s="845">
        <f t="shared" si="0"/>
        <v>220127143</v>
      </c>
      <c r="AW43" s="845">
        <f t="shared" si="0"/>
        <v>212769532</v>
      </c>
      <c r="AX43" s="857">
        <f>AX41+AX42</f>
        <v>624413183</v>
      </c>
      <c r="AY43" s="858">
        <f>AY41+AY42</f>
        <v>580539646</v>
      </c>
      <c r="AZ43" s="845">
        <f t="shared" si="1"/>
        <v>844540326</v>
      </c>
      <c r="BA43" s="845">
        <f t="shared" si="1"/>
        <v>793309178</v>
      </c>
      <c r="BB43" s="874"/>
    </row>
    <row r="44" spans="1:54" x14ac:dyDescent="0.3">
      <c r="A44" s="1074" t="s">
        <v>231</v>
      </c>
      <c r="B44" s="1067">
        <f>B40-B43</f>
        <v>5227703</v>
      </c>
      <c r="C44" s="1068">
        <f>C40-C43</f>
        <v>5567620</v>
      </c>
      <c r="D44" s="70">
        <v>-129122</v>
      </c>
      <c r="E44" s="71">
        <v>24770</v>
      </c>
      <c r="F44" s="857">
        <f t="shared" ref="F44:K44" si="7">F40-F43</f>
        <v>233149</v>
      </c>
      <c r="G44" s="857">
        <f t="shared" si="7"/>
        <v>4470</v>
      </c>
      <c r="H44" s="857">
        <f t="shared" si="7"/>
        <v>5457099</v>
      </c>
      <c r="I44" s="857">
        <f t="shared" si="7"/>
        <v>2568106</v>
      </c>
      <c r="J44" s="857">
        <f t="shared" si="7"/>
        <v>722256</v>
      </c>
      <c r="K44" s="857">
        <f t="shared" si="7"/>
        <v>747956</v>
      </c>
      <c r="L44" s="857">
        <v>679655</v>
      </c>
      <c r="M44" s="858">
        <v>598648</v>
      </c>
      <c r="N44" s="857">
        <f t="shared" ref="N44:W44" si="8">N40-N43</f>
        <v>320768</v>
      </c>
      <c r="O44" s="857">
        <f t="shared" si="8"/>
        <v>-870634</v>
      </c>
      <c r="P44" s="857">
        <f t="shared" si="8"/>
        <v>334502</v>
      </c>
      <c r="Q44" s="857">
        <f t="shared" si="8"/>
        <v>107503</v>
      </c>
      <c r="R44" s="857">
        <f t="shared" si="8"/>
        <v>1567359</v>
      </c>
      <c r="S44" s="857">
        <f t="shared" si="8"/>
        <v>1737151</v>
      </c>
      <c r="T44" s="857">
        <f t="shared" si="8"/>
        <v>67130</v>
      </c>
      <c r="U44" s="857">
        <f t="shared" si="8"/>
        <v>126915</v>
      </c>
      <c r="V44" s="857">
        <f t="shared" si="8"/>
        <v>-7308233</v>
      </c>
      <c r="W44" s="857">
        <f t="shared" si="8"/>
        <v>-5879075</v>
      </c>
      <c r="X44" s="857">
        <v>-3575692</v>
      </c>
      <c r="Y44" s="858">
        <v>-3812983</v>
      </c>
      <c r="Z44" s="50">
        <v>2111609</v>
      </c>
      <c r="AA44" s="52">
        <v>2042075</v>
      </c>
      <c r="AB44" s="857">
        <v>3172957</v>
      </c>
      <c r="AC44" s="858">
        <v>1573056</v>
      </c>
      <c r="AD44" s="859">
        <f>AD40-AD43</f>
        <v>-2478000</v>
      </c>
      <c r="AE44" s="859">
        <f>AE40-AE43</f>
        <v>-3008984</v>
      </c>
      <c r="AF44" s="857">
        <v>1797521</v>
      </c>
      <c r="AG44" s="858">
        <v>5607826</v>
      </c>
      <c r="AH44" s="857">
        <f>AH40-AH43</f>
        <v>1202489</v>
      </c>
      <c r="AI44" s="857">
        <f>AI40-AI43</f>
        <v>-439844</v>
      </c>
      <c r="AJ44" s="857">
        <f>AJ40-AJ43</f>
        <v>152904</v>
      </c>
      <c r="AK44" s="857">
        <f>AK40-AK43</f>
        <v>1398614</v>
      </c>
      <c r="AL44" s="850"/>
      <c r="AM44" s="851"/>
      <c r="AN44" s="860">
        <v>25578231</v>
      </c>
      <c r="AO44" s="687">
        <v>26392970</v>
      </c>
      <c r="AP44" s="852">
        <f t="shared" ref="AP44:AU44" si="9">AP40-AP43</f>
        <v>1265075</v>
      </c>
      <c r="AQ44" s="852">
        <f t="shared" si="9"/>
        <v>1106217</v>
      </c>
      <c r="AR44" s="848">
        <f t="shared" si="9"/>
        <v>2491046</v>
      </c>
      <c r="AS44" s="848">
        <f t="shared" si="9"/>
        <v>1683730</v>
      </c>
      <c r="AT44" s="857">
        <f t="shared" si="9"/>
        <v>-897847</v>
      </c>
      <c r="AU44" s="857">
        <f t="shared" si="9"/>
        <v>2057964</v>
      </c>
      <c r="AV44" s="845">
        <f t="shared" si="0"/>
        <v>37992559</v>
      </c>
      <c r="AW44" s="845">
        <f t="shared" si="0"/>
        <v>39334071</v>
      </c>
      <c r="AX44" s="857">
        <f>AX40-AX43</f>
        <v>826061743</v>
      </c>
      <c r="AY44" s="858">
        <f>AY40-AY43</f>
        <v>659514478</v>
      </c>
      <c r="AZ44" s="845">
        <f t="shared" si="1"/>
        <v>864054302</v>
      </c>
      <c r="BA44" s="845">
        <f t="shared" si="1"/>
        <v>698848549</v>
      </c>
    </row>
    <row r="45" spans="1:54" x14ac:dyDescent="0.3">
      <c r="A45" s="1075" t="s">
        <v>232</v>
      </c>
      <c r="B45" s="1069"/>
      <c r="C45" s="1070"/>
      <c r="D45" s="47"/>
      <c r="E45" s="48"/>
      <c r="F45" s="848"/>
      <c r="G45" s="849"/>
      <c r="H45" s="848"/>
      <c r="I45" s="849"/>
      <c r="J45" s="848"/>
      <c r="K45" s="849"/>
      <c r="L45" s="848"/>
      <c r="M45" s="849"/>
      <c r="N45" s="848"/>
      <c r="O45" s="849"/>
      <c r="P45" s="848"/>
      <c r="Q45" s="849"/>
      <c r="R45" s="848"/>
      <c r="S45" s="849"/>
      <c r="T45" s="848"/>
      <c r="U45" s="849"/>
      <c r="V45" s="848"/>
      <c r="W45" s="849"/>
      <c r="X45" s="848"/>
      <c r="Y45" s="849"/>
      <c r="Z45" s="57"/>
      <c r="AA45" s="59"/>
      <c r="AB45" s="848"/>
      <c r="AC45" s="849"/>
      <c r="AD45" s="848"/>
      <c r="AE45" s="849"/>
      <c r="AF45" s="848"/>
      <c r="AG45" s="849"/>
      <c r="AH45" s="848"/>
      <c r="AI45" s="849"/>
      <c r="AJ45" s="848"/>
      <c r="AK45" s="849"/>
      <c r="AL45" s="850"/>
      <c r="AM45" s="851"/>
      <c r="AN45" s="685"/>
      <c r="AO45" s="48"/>
      <c r="AP45" s="852"/>
      <c r="AQ45" s="853"/>
      <c r="AR45" s="854"/>
      <c r="AS45" s="855"/>
      <c r="AT45" s="848"/>
      <c r="AU45" s="849"/>
      <c r="AV45" s="845">
        <f t="shared" si="0"/>
        <v>0</v>
      </c>
      <c r="AW45" s="845">
        <f t="shared" si="0"/>
        <v>0</v>
      </c>
      <c r="AX45" s="848"/>
      <c r="AY45" s="849"/>
      <c r="AZ45" s="845">
        <f t="shared" si="1"/>
        <v>0</v>
      </c>
      <c r="BA45" s="845">
        <f t="shared" si="1"/>
        <v>0</v>
      </c>
    </row>
    <row r="46" spans="1:54" x14ac:dyDescent="0.3">
      <c r="A46" s="1075" t="s">
        <v>233</v>
      </c>
      <c r="B46" s="1069">
        <v>1203733</v>
      </c>
      <c r="C46" s="1070">
        <v>2437207</v>
      </c>
      <c r="D46" s="47">
        <v>5456386</v>
      </c>
      <c r="E46" s="48">
        <v>4079262</v>
      </c>
      <c r="F46" s="848">
        <v>13479364</v>
      </c>
      <c r="G46" s="849">
        <v>13531989</v>
      </c>
      <c r="H46" s="848"/>
      <c r="I46" s="849"/>
      <c r="J46" s="848">
        <v>25056444</v>
      </c>
      <c r="K46" s="849">
        <v>24634204</v>
      </c>
      <c r="L46" s="848">
        <v>1359733</v>
      </c>
      <c r="M46" s="849">
        <v>2871993</v>
      </c>
      <c r="N46" s="848">
        <v>1837156</v>
      </c>
      <c r="O46" s="849">
        <v>2797864</v>
      </c>
      <c r="P46" s="848">
        <v>10404477</v>
      </c>
      <c r="Q46" s="849">
        <v>7404732</v>
      </c>
      <c r="R46" s="848">
        <v>8152106</v>
      </c>
      <c r="S46" s="849">
        <v>8152573</v>
      </c>
      <c r="T46" s="848">
        <v>15982880</v>
      </c>
      <c r="U46" s="849">
        <v>14724371</v>
      </c>
      <c r="V46" s="848"/>
      <c r="W46" s="849"/>
      <c r="X46" s="848"/>
      <c r="Y46" s="849"/>
      <c r="Z46" s="57">
        <v>12187</v>
      </c>
      <c r="AA46" s="59">
        <v>920240</v>
      </c>
      <c r="AB46" s="848">
        <v>1753642</v>
      </c>
      <c r="AC46" s="849">
        <v>2018643</v>
      </c>
      <c r="AD46" s="848"/>
      <c r="AE46" s="849"/>
      <c r="AF46" s="848"/>
      <c r="AG46" s="849"/>
      <c r="AH46" s="848">
        <v>8645630</v>
      </c>
      <c r="AI46" s="849">
        <v>9672731</v>
      </c>
      <c r="AJ46" s="848">
        <v>2559253</v>
      </c>
      <c r="AK46" s="849">
        <v>2918852</v>
      </c>
      <c r="AL46" s="850"/>
      <c r="AM46" s="851"/>
      <c r="AN46" s="685"/>
      <c r="AO46" s="48"/>
      <c r="AP46" s="852"/>
      <c r="AQ46" s="853"/>
      <c r="AR46" s="854"/>
      <c r="AS46" s="855">
        <v>843689</v>
      </c>
      <c r="AT46" s="848"/>
      <c r="AU46" s="849">
        <v>584099</v>
      </c>
      <c r="AV46" s="845">
        <f t="shared" si="0"/>
        <v>95902991</v>
      </c>
      <c r="AW46" s="845">
        <f t="shared" si="0"/>
        <v>97592449</v>
      </c>
      <c r="AX46" s="848"/>
      <c r="AY46" s="849"/>
      <c r="AZ46" s="845">
        <f t="shared" si="1"/>
        <v>95902991</v>
      </c>
      <c r="BA46" s="845">
        <f t="shared" si="1"/>
        <v>97592449</v>
      </c>
    </row>
    <row r="47" spans="1:54" x14ac:dyDescent="0.3">
      <c r="A47" s="1075" t="s">
        <v>234</v>
      </c>
      <c r="B47" s="1069"/>
      <c r="C47" s="1070"/>
      <c r="D47" s="47">
        <v>12953424</v>
      </c>
      <c r="E47" s="48">
        <v>12533472</v>
      </c>
      <c r="F47" s="848"/>
      <c r="G47" s="849"/>
      <c r="H47" s="848"/>
      <c r="I47" s="849"/>
      <c r="J47" s="848"/>
      <c r="K47" s="849"/>
      <c r="L47" s="848"/>
      <c r="M47" s="849"/>
      <c r="N47" s="848"/>
      <c r="O47" s="849"/>
      <c r="P47" s="848"/>
      <c r="Q47" s="849"/>
      <c r="R47" s="848"/>
      <c r="S47" s="849"/>
      <c r="T47" s="848"/>
      <c r="U47" s="849"/>
      <c r="V47" s="848"/>
      <c r="W47" s="849"/>
      <c r="X47" s="848"/>
      <c r="Y47" s="849"/>
      <c r="Z47" s="57">
        <v>63569</v>
      </c>
      <c r="AA47" s="59">
        <v>183339</v>
      </c>
      <c r="AB47" s="848"/>
      <c r="AC47" s="849"/>
      <c r="AD47" s="848"/>
      <c r="AE47" s="849"/>
      <c r="AF47" s="848"/>
      <c r="AG47" s="849"/>
      <c r="AH47" s="848"/>
      <c r="AI47" s="849"/>
      <c r="AJ47" s="848"/>
      <c r="AK47" s="849"/>
      <c r="AL47" s="850"/>
      <c r="AM47" s="851"/>
      <c r="AN47" s="685"/>
      <c r="AO47" s="48"/>
      <c r="AP47" s="852"/>
      <c r="AQ47" s="853"/>
      <c r="AR47" s="854"/>
      <c r="AS47" s="855"/>
      <c r="AT47" s="848"/>
      <c r="AU47" s="849"/>
      <c r="AV47" s="845">
        <f t="shared" si="0"/>
        <v>13016993</v>
      </c>
      <c r="AW47" s="845">
        <f t="shared" si="0"/>
        <v>12716811</v>
      </c>
      <c r="AX47" s="848"/>
      <c r="AY47" s="849"/>
      <c r="AZ47" s="845">
        <f t="shared" si="1"/>
        <v>13016993</v>
      </c>
      <c r="BA47" s="845">
        <f t="shared" si="1"/>
        <v>12716811</v>
      </c>
    </row>
    <row r="48" spans="1:54" s="269" customFormat="1" thickBot="1" x14ac:dyDescent="0.3">
      <c r="A48" s="1078" t="s">
        <v>62</v>
      </c>
      <c r="B48" s="1071">
        <f>B29</f>
        <v>397754755</v>
      </c>
      <c r="C48" s="1072">
        <f>C29</f>
        <v>378277994</v>
      </c>
      <c r="D48" s="181">
        <v>42141774</v>
      </c>
      <c r="E48" s="183">
        <v>37896658</v>
      </c>
      <c r="F48" s="877">
        <v>105222372</v>
      </c>
      <c r="G48" s="878">
        <v>105528973</v>
      </c>
      <c r="H48" s="877">
        <f>H29</f>
        <v>550794758</v>
      </c>
      <c r="I48" s="877">
        <f>I29</f>
        <v>525146970</v>
      </c>
      <c r="J48" s="877"/>
      <c r="K48" s="878"/>
      <c r="L48" s="877">
        <v>140758179</v>
      </c>
      <c r="M48" s="878">
        <v>129436666</v>
      </c>
      <c r="N48" s="877">
        <v>44956260</v>
      </c>
      <c r="O48" s="878">
        <v>36622666</v>
      </c>
      <c r="P48" s="877">
        <v>37924150</v>
      </c>
      <c r="Q48" s="878">
        <v>31847842</v>
      </c>
      <c r="R48" s="877">
        <v>144819104</v>
      </c>
      <c r="S48" s="878">
        <v>130150382</v>
      </c>
      <c r="T48" s="877">
        <v>51927849</v>
      </c>
      <c r="U48" s="878">
        <v>46358366</v>
      </c>
      <c r="V48" s="877">
        <v>1173527768</v>
      </c>
      <c r="W48" s="878">
        <v>1042005349</v>
      </c>
      <c r="X48" s="877">
        <v>1491694132</v>
      </c>
      <c r="Y48" s="878">
        <v>1374709983</v>
      </c>
      <c r="Z48" s="879">
        <v>86641739</v>
      </c>
      <c r="AA48" s="880">
        <v>73351391</v>
      </c>
      <c r="AB48" s="877">
        <v>143319186</v>
      </c>
      <c r="AC48" s="878">
        <v>121993772</v>
      </c>
      <c r="AD48" s="877">
        <v>274709988</v>
      </c>
      <c r="AE48" s="878">
        <v>238646089</v>
      </c>
      <c r="AF48" s="877">
        <v>590396040</v>
      </c>
      <c r="AG48" s="878">
        <v>531787718</v>
      </c>
      <c r="AH48" s="877">
        <v>202077200</v>
      </c>
      <c r="AI48" s="878">
        <v>179040392</v>
      </c>
      <c r="AJ48" s="877">
        <v>205373253</v>
      </c>
      <c r="AK48" s="878">
        <v>193144442</v>
      </c>
      <c r="AL48" s="881"/>
      <c r="AM48" s="882"/>
      <c r="AN48" s="185">
        <v>1357338276</v>
      </c>
      <c r="AO48" s="187">
        <v>1131750321</v>
      </c>
      <c r="AP48" s="883">
        <v>41564699</v>
      </c>
      <c r="AQ48" s="884">
        <v>35565566</v>
      </c>
      <c r="AR48" s="885">
        <v>79771481</v>
      </c>
      <c r="AS48" s="886">
        <v>70687024</v>
      </c>
      <c r="AT48" s="877">
        <v>269595752</v>
      </c>
      <c r="AU48" s="878">
        <v>241720662</v>
      </c>
      <c r="AV48" s="845">
        <f t="shared" si="0"/>
        <v>7432308715</v>
      </c>
      <c r="AW48" s="845">
        <f t="shared" si="0"/>
        <v>6655669226</v>
      </c>
      <c r="AX48" s="877">
        <f>AX29</f>
        <v>29678533678</v>
      </c>
      <c r="AY48" s="878">
        <f>AY29</f>
        <v>27930599754</v>
      </c>
      <c r="AZ48" s="845">
        <f t="shared" si="1"/>
        <v>37110842393</v>
      </c>
      <c r="BA48" s="845">
        <f t="shared" si="1"/>
        <v>34586268980</v>
      </c>
      <c r="BB48" s="874"/>
    </row>
    <row r="49" spans="1:53" x14ac:dyDescent="0.3">
      <c r="A49" s="1073" t="s">
        <v>235</v>
      </c>
      <c r="B49" s="1066"/>
      <c r="C49" s="1066"/>
      <c r="D49" s="139"/>
      <c r="E49" s="139"/>
      <c r="F49" s="887"/>
      <c r="G49" s="887"/>
      <c r="H49" s="887"/>
      <c r="I49" s="887"/>
      <c r="J49" s="887">
        <v>78782295</v>
      </c>
      <c r="K49" s="887">
        <v>68576420</v>
      </c>
      <c r="L49" s="887"/>
      <c r="M49" s="887"/>
      <c r="N49" s="887"/>
      <c r="O49" s="887"/>
      <c r="P49" s="887"/>
      <c r="Q49" s="887"/>
      <c r="R49" s="887"/>
      <c r="S49" s="887"/>
      <c r="T49" s="887"/>
      <c r="U49" s="887"/>
      <c r="V49" s="887"/>
      <c r="W49" s="887"/>
      <c r="X49" s="887">
        <v>3345100</v>
      </c>
      <c r="Y49" s="887">
        <v>1968432</v>
      </c>
      <c r="Z49" s="155"/>
      <c r="AA49" s="155"/>
      <c r="AB49" s="887"/>
      <c r="AC49" s="887"/>
      <c r="AD49" s="887"/>
      <c r="AE49" s="887"/>
      <c r="AF49" s="887"/>
      <c r="AG49" s="887"/>
      <c r="AH49" s="887"/>
      <c r="AI49" s="887"/>
      <c r="AJ49" s="887"/>
      <c r="AK49" s="887"/>
      <c r="AL49" s="888"/>
      <c r="AM49" s="889"/>
      <c r="AN49" s="139"/>
      <c r="AO49" s="890" t="s">
        <v>236</v>
      </c>
      <c r="AP49" s="891"/>
      <c r="AQ49" s="891"/>
      <c r="AR49" s="892"/>
      <c r="AS49" s="892"/>
      <c r="AT49" s="887"/>
      <c r="AU49" s="887"/>
      <c r="AV49" s="893"/>
      <c r="AW49" s="893"/>
      <c r="AX49" s="887"/>
      <c r="AY49" s="887"/>
      <c r="AZ49" s="893"/>
      <c r="BA49" s="893"/>
    </row>
    <row r="50" spans="1:53" x14ac:dyDescent="0.3">
      <c r="A50" s="894"/>
      <c r="B50" s="844"/>
      <c r="C50" s="844"/>
      <c r="D50" s="66"/>
      <c r="E50" s="66"/>
      <c r="F50" s="895"/>
      <c r="G50" s="895"/>
      <c r="H50" s="895"/>
      <c r="I50" s="895"/>
      <c r="J50" s="895"/>
      <c r="K50" s="895"/>
      <c r="L50" s="895"/>
      <c r="M50" s="895"/>
      <c r="N50" s="895"/>
      <c r="O50" s="895"/>
      <c r="P50" s="895"/>
      <c r="Q50" s="895"/>
      <c r="R50" s="895"/>
      <c r="S50" s="895"/>
      <c r="T50" s="895"/>
      <c r="U50" s="895"/>
      <c r="V50" s="895"/>
      <c r="W50" s="895"/>
      <c r="X50" s="895"/>
      <c r="Y50" s="895"/>
      <c r="Z50" s="43"/>
      <c r="AA50" s="43"/>
      <c r="AB50" s="895"/>
      <c r="AC50" s="895"/>
      <c r="AD50" s="896"/>
      <c r="AE50" s="896"/>
      <c r="AF50" s="895"/>
      <c r="AG50" s="895"/>
      <c r="AH50" s="895"/>
      <c r="AI50" s="895"/>
      <c r="AJ50" s="895"/>
      <c r="AK50" s="895"/>
      <c r="AL50" s="897"/>
      <c r="AM50" s="894"/>
      <c r="AN50" s="172"/>
      <c r="AO50" s="172"/>
      <c r="AP50" s="898"/>
      <c r="AQ50" s="898"/>
      <c r="AR50" s="899"/>
      <c r="AS50" s="899"/>
      <c r="AT50" s="895"/>
      <c r="AU50" s="895"/>
      <c r="AV50" s="895"/>
      <c r="AW50" s="895"/>
      <c r="AX50" s="895"/>
      <c r="AY50" s="895"/>
      <c r="AZ50" s="895"/>
      <c r="BA50" s="895"/>
    </row>
    <row r="51" spans="1:53" x14ac:dyDescent="0.3">
      <c r="A51" s="172" t="s">
        <v>1</v>
      </c>
      <c r="B51" s="847"/>
      <c r="C51" s="847"/>
      <c r="D51" s="43"/>
      <c r="E51" s="43"/>
      <c r="F51" s="899"/>
      <c r="G51" s="899"/>
      <c r="H51" s="899"/>
      <c r="I51" s="899"/>
      <c r="J51" s="899"/>
      <c r="K51" s="899"/>
      <c r="L51" s="899"/>
      <c r="M51" s="899"/>
      <c r="N51" s="899"/>
      <c r="O51" s="899"/>
      <c r="P51" s="899"/>
      <c r="Q51" s="899"/>
      <c r="R51" s="899"/>
      <c r="S51" s="899"/>
      <c r="T51" s="899"/>
      <c r="U51" s="899"/>
      <c r="V51" s="899"/>
      <c r="W51" s="899"/>
      <c r="X51" s="899"/>
      <c r="Y51" s="899"/>
      <c r="Z51" s="58"/>
      <c r="AA51" s="58"/>
      <c r="AB51" s="899"/>
      <c r="AC51" s="899"/>
      <c r="AD51" s="899"/>
      <c r="AE51" s="899"/>
      <c r="AF51" s="899"/>
      <c r="AG51" s="899"/>
      <c r="AH51" s="899"/>
      <c r="AI51" s="899"/>
      <c r="AJ51" s="899"/>
      <c r="AK51" s="899"/>
      <c r="AL51" s="897"/>
      <c r="AM51" s="894"/>
      <c r="AN51" s="43"/>
      <c r="AO51" s="43"/>
      <c r="AP51" s="898"/>
      <c r="AQ51" s="898"/>
      <c r="AR51" s="900"/>
      <c r="AS51" s="900"/>
      <c r="AT51" s="899"/>
      <c r="AU51" s="899"/>
      <c r="AV51" s="895"/>
      <c r="AW51" s="895"/>
      <c r="AX51" s="899"/>
      <c r="AY51" s="899"/>
      <c r="AZ51" s="895"/>
      <c r="BA51" s="895"/>
    </row>
    <row r="52" spans="1:53" x14ac:dyDescent="0.3">
      <c r="A52" s="894"/>
      <c r="B52" s="847"/>
      <c r="C52" s="847"/>
      <c r="D52" s="43"/>
      <c r="E52" s="43"/>
      <c r="F52" s="899"/>
      <c r="G52" s="899"/>
      <c r="H52" s="899"/>
      <c r="I52" s="899"/>
      <c r="J52" s="899"/>
      <c r="K52" s="899"/>
      <c r="L52" s="899"/>
      <c r="M52" s="899"/>
      <c r="N52" s="899"/>
      <c r="O52" s="899"/>
      <c r="P52" s="899"/>
      <c r="Q52" s="899"/>
      <c r="R52" s="899"/>
      <c r="S52" s="899"/>
      <c r="T52" s="899"/>
      <c r="U52" s="899"/>
      <c r="V52" s="899"/>
      <c r="W52" s="899"/>
      <c r="X52" s="899"/>
      <c r="Y52" s="899"/>
      <c r="Z52" s="58"/>
      <c r="AA52" s="58"/>
      <c r="AB52" s="899"/>
      <c r="AC52" s="899"/>
      <c r="AD52" s="899"/>
      <c r="AE52" s="899"/>
      <c r="AF52" s="899"/>
      <c r="AG52" s="899"/>
      <c r="AH52" s="899"/>
      <c r="AI52" s="899"/>
      <c r="AJ52" s="899"/>
      <c r="AK52" s="899"/>
      <c r="AL52" s="897"/>
      <c r="AM52" s="894"/>
      <c r="AN52" s="43"/>
      <c r="AO52" s="43"/>
      <c r="AP52" s="898"/>
      <c r="AQ52" s="898"/>
      <c r="AR52" s="900"/>
      <c r="AS52" s="900"/>
      <c r="AT52" s="899"/>
      <c r="AU52" s="899"/>
      <c r="AV52" s="895"/>
      <c r="AW52" s="895"/>
      <c r="AX52" s="899"/>
      <c r="AY52" s="899"/>
      <c r="AZ52" s="895"/>
      <c r="BA52" s="895"/>
    </row>
    <row r="53" spans="1:53" x14ac:dyDescent="0.3">
      <c r="A53" s="763" t="s">
        <v>237</v>
      </c>
      <c r="B53" s="847">
        <v>4934442</v>
      </c>
      <c r="C53" s="847">
        <v>1304700</v>
      </c>
      <c r="D53" s="43"/>
      <c r="E53" s="43"/>
      <c r="F53" s="899"/>
      <c r="G53" s="899"/>
      <c r="H53" s="899"/>
      <c r="I53" s="899"/>
      <c r="J53" s="899"/>
      <c r="K53" s="899"/>
      <c r="L53" s="899"/>
      <c r="M53" s="899"/>
      <c r="N53" s="899"/>
      <c r="O53" s="899"/>
      <c r="P53" s="899"/>
      <c r="Q53" s="899"/>
      <c r="R53" s="899"/>
      <c r="S53" s="899"/>
      <c r="T53" s="899"/>
      <c r="U53" s="899"/>
      <c r="V53" s="899"/>
      <c r="W53" s="899"/>
      <c r="X53" s="899"/>
      <c r="Y53" s="899"/>
      <c r="Z53" s="58" t="s">
        <v>238</v>
      </c>
      <c r="AA53" s="58" t="s">
        <v>238</v>
      </c>
      <c r="AB53" s="899"/>
      <c r="AC53" s="899"/>
      <c r="AD53" s="899"/>
      <c r="AE53" s="899"/>
      <c r="AF53" s="899"/>
      <c r="AG53" s="899"/>
      <c r="AH53" s="899"/>
      <c r="AI53" s="899"/>
      <c r="AJ53" s="899"/>
      <c r="AK53" s="899"/>
      <c r="AL53" s="897"/>
      <c r="AM53" s="894"/>
      <c r="AN53" s="763"/>
      <c r="AO53" s="43"/>
      <c r="AP53" s="898"/>
      <c r="AQ53" s="898"/>
      <c r="AR53" s="900"/>
      <c r="AS53" s="900"/>
      <c r="AT53" s="899"/>
      <c r="AU53" s="899"/>
      <c r="AV53" s="895"/>
      <c r="AW53" s="895"/>
      <c r="AX53" s="899"/>
      <c r="AY53" s="899"/>
      <c r="AZ53" s="895"/>
      <c r="BA53" s="895"/>
    </row>
    <row r="54" spans="1:53" x14ac:dyDescent="0.3">
      <c r="A54" s="763" t="s">
        <v>239</v>
      </c>
      <c r="B54" s="847">
        <v>22199</v>
      </c>
      <c r="C54" s="847">
        <v>96435</v>
      </c>
      <c r="D54" s="43"/>
      <c r="E54" s="43"/>
      <c r="F54" s="899"/>
      <c r="G54" s="899"/>
      <c r="H54" s="899"/>
      <c r="I54" s="899"/>
      <c r="J54" s="899"/>
      <c r="K54" s="899"/>
      <c r="L54" s="899"/>
      <c r="M54" s="899"/>
      <c r="N54" s="899"/>
      <c r="O54" s="899"/>
      <c r="P54" s="899"/>
      <c r="Q54" s="899"/>
      <c r="R54" s="899"/>
      <c r="S54" s="899"/>
      <c r="T54" s="899"/>
      <c r="U54" s="899"/>
      <c r="V54" s="899"/>
      <c r="W54" s="899"/>
      <c r="X54" s="899"/>
      <c r="Y54" s="899"/>
      <c r="Z54" s="58" t="s">
        <v>238</v>
      </c>
      <c r="AA54" s="58">
        <v>294</v>
      </c>
      <c r="AB54" s="899"/>
      <c r="AC54" s="899"/>
      <c r="AD54" s="899"/>
      <c r="AE54" s="899"/>
      <c r="AF54" s="899"/>
      <c r="AG54" s="899"/>
      <c r="AH54" s="899"/>
      <c r="AI54" s="899"/>
      <c r="AJ54" s="899"/>
      <c r="AK54" s="899"/>
      <c r="AL54" s="897"/>
      <c r="AM54" s="894"/>
      <c r="AN54" s="763">
        <v>11016</v>
      </c>
      <c r="AO54" s="763">
        <v>10681</v>
      </c>
      <c r="AP54" s="898"/>
      <c r="AQ54" s="898"/>
      <c r="AR54" s="900"/>
      <c r="AS54" s="900"/>
      <c r="AT54" s="899"/>
      <c r="AU54" s="899"/>
      <c r="AV54" s="895"/>
      <c r="AW54" s="895"/>
      <c r="AX54" s="899"/>
      <c r="AY54" s="899"/>
      <c r="AZ54" s="895"/>
      <c r="BA54" s="895"/>
    </row>
    <row r="55" spans="1:53" x14ac:dyDescent="0.3">
      <c r="A55" s="763" t="s">
        <v>240</v>
      </c>
      <c r="B55" s="844"/>
      <c r="C55" s="844"/>
      <c r="D55" s="66"/>
      <c r="E55" s="66"/>
      <c r="F55" s="895"/>
      <c r="G55" s="895"/>
      <c r="H55" s="895"/>
      <c r="I55" s="895"/>
      <c r="J55" s="895"/>
      <c r="K55" s="895"/>
      <c r="L55" s="895"/>
      <c r="M55" s="895"/>
      <c r="N55" s="895"/>
      <c r="O55" s="895"/>
      <c r="P55" s="895"/>
      <c r="Q55" s="895"/>
      <c r="R55" s="895"/>
      <c r="S55" s="895"/>
      <c r="T55" s="895"/>
      <c r="U55" s="895"/>
      <c r="V55" s="895"/>
      <c r="W55" s="895"/>
      <c r="X55" s="895"/>
      <c r="Y55" s="895"/>
      <c r="Z55" s="51" t="s">
        <v>238</v>
      </c>
      <c r="AA55" s="51" t="s">
        <v>238</v>
      </c>
      <c r="AB55" s="895"/>
      <c r="AC55" s="895"/>
      <c r="AD55" s="896"/>
      <c r="AE55" s="896"/>
      <c r="AF55" s="895"/>
      <c r="AG55" s="895"/>
      <c r="AH55" s="895"/>
      <c r="AI55" s="895"/>
      <c r="AJ55" s="895"/>
      <c r="AK55" s="895"/>
      <c r="AL55" s="897"/>
      <c r="AM55" s="894"/>
      <c r="AN55" s="763"/>
      <c r="AO55" s="763"/>
      <c r="AP55" s="898"/>
      <c r="AQ55" s="898"/>
      <c r="AR55" s="899"/>
      <c r="AS55" s="899"/>
      <c r="AT55" s="895"/>
      <c r="AU55" s="895"/>
      <c r="AV55" s="895"/>
      <c r="AW55" s="895"/>
      <c r="AX55" s="895"/>
      <c r="AY55" s="895"/>
      <c r="AZ55" s="895"/>
      <c r="BA55" s="895"/>
    </row>
    <row r="56" spans="1:53" x14ac:dyDescent="0.3">
      <c r="A56" s="763" t="s">
        <v>241</v>
      </c>
      <c r="B56" s="847">
        <v>2500</v>
      </c>
      <c r="C56" s="847"/>
      <c r="D56" s="43">
        <v>2500</v>
      </c>
      <c r="E56" s="43"/>
      <c r="F56" s="899"/>
      <c r="G56" s="899"/>
      <c r="H56" s="899"/>
      <c r="I56" s="899"/>
      <c r="J56" s="899"/>
      <c r="K56" s="899"/>
      <c r="L56" s="899"/>
      <c r="M56" s="899"/>
      <c r="N56" s="899"/>
      <c r="O56" s="899"/>
      <c r="P56" s="899"/>
      <c r="Q56" s="899"/>
      <c r="R56" s="899"/>
      <c r="S56" s="899"/>
      <c r="T56" s="899"/>
      <c r="U56" s="899"/>
      <c r="V56" s="899"/>
      <c r="W56" s="899"/>
      <c r="X56" s="899"/>
      <c r="Y56" s="899"/>
      <c r="Z56" s="58" t="s">
        <v>238</v>
      </c>
      <c r="AA56" s="58" t="s">
        <v>238</v>
      </c>
      <c r="AB56" s="899"/>
      <c r="AC56" s="899"/>
      <c r="AD56" s="899"/>
      <c r="AE56" s="899"/>
      <c r="AF56" s="899"/>
      <c r="AG56" s="899"/>
      <c r="AH56" s="899"/>
      <c r="AI56" s="899"/>
      <c r="AJ56" s="899"/>
      <c r="AK56" s="899"/>
      <c r="AL56" s="897"/>
      <c r="AM56" s="894"/>
      <c r="AN56" s="763"/>
      <c r="AO56" s="763"/>
      <c r="AP56" s="898"/>
      <c r="AQ56" s="898"/>
      <c r="AR56" s="900"/>
      <c r="AS56" s="900"/>
      <c r="AT56" s="899"/>
      <c r="AU56" s="899"/>
      <c r="AV56" s="895"/>
      <c r="AW56" s="895"/>
      <c r="AX56" s="899"/>
      <c r="AY56" s="899"/>
      <c r="AZ56" s="895"/>
      <c r="BA56" s="895"/>
    </row>
    <row r="57" spans="1:53" x14ac:dyDescent="0.3">
      <c r="A57" s="763" t="s">
        <v>242</v>
      </c>
      <c r="B57" s="847"/>
      <c r="C57" s="847"/>
      <c r="D57" s="43">
        <v>81454</v>
      </c>
      <c r="E57" s="43">
        <v>94724</v>
      </c>
      <c r="F57" s="899"/>
      <c r="G57" s="899"/>
      <c r="H57" s="899"/>
      <c r="I57" s="899"/>
      <c r="J57" s="899"/>
      <c r="K57" s="899"/>
      <c r="L57" s="899"/>
      <c r="M57" s="899"/>
      <c r="N57" s="899"/>
      <c r="O57" s="899"/>
      <c r="P57" s="899"/>
      <c r="Q57" s="899"/>
      <c r="R57" s="899"/>
      <c r="S57" s="899"/>
      <c r="T57" s="899"/>
      <c r="U57" s="899"/>
      <c r="V57" s="899"/>
      <c r="W57" s="899"/>
      <c r="X57" s="899"/>
      <c r="Y57" s="899"/>
      <c r="Z57" s="58">
        <v>911818</v>
      </c>
      <c r="AA57" s="58">
        <v>1968308</v>
      </c>
      <c r="AB57" s="899"/>
      <c r="AC57" s="899"/>
      <c r="AD57" s="899"/>
      <c r="AE57" s="899"/>
      <c r="AF57" s="899"/>
      <c r="AG57" s="899"/>
      <c r="AH57" s="899"/>
      <c r="AI57" s="899"/>
      <c r="AJ57" s="899"/>
      <c r="AK57" s="899"/>
      <c r="AL57" s="897"/>
      <c r="AM57" s="894"/>
      <c r="AN57" s="763"/>
      <c r="AO57" s="763"/>
      <c r="AP57" s="898"/>
      <c r="AQ57" s="898"/>
      <c r="AR57" s="900"/>
      <c r="AS57" s="900"/>
      <c r="AT57" s="899"/>
      <c r="AU57" s="899"/>
      <c r="AV57" s="895"/>
      <c r="AW57" s="895"/>
      <c r="AX57" s="899"/>
      <c r="AY57" s="899"/>
      <c r="AZ57" s="895"/>
      <c r="BA57" s="895"/>
    </row>
    <row r="58" spans="1:53" x14ac:dyDescent="0.3">
      <c r="A58" s="763" t="s">
        <v>243</v>
      </c>
      <c r="B58" s="847"/>
      <c r="C58" s="847"/>
      <c r="D58" s="43"/>
      <c r="E58" s="43"/>
      <c r="F58" s="899"/>
      <c r="G58" s="899"/>
      <c r="H58" s="899"/>
      <c r="I58" s="899"/>
      <c r="J58" s="899"/>
      <c r="K58" s="899"/>
      <c r="L58" s="899"/>
      <c r="M58" s="899"/>
      <c r="N58" s="899"/>
      <c r="O58" s="899"/>
      <c r="P58" s="899"/>
      <c r="Q58" s="899"/>
      <c r="R58" s="899"/>
      <c r="S58" s="899"/>
      <c r="T58" s="899"/>
      <c r="U58" s="899"/>
      <c r="V58" s="899"/>
      <c r="W58" s="899"/>
      <c r="X58" s="899"/>
      <c r="Y58" s="899"/>
      <c r="Z58" s="58" t="s">
        <v>238</v>
      </c>
      <c r="AA58" s="58" t="s">
        <v>238</v>
      </c>
      <c r="AB58" s="899"/>
      <c r="AC58" s="899"/>
      <c r="AD58" s="899"/>
      <c r="AE58" s="899"/>
      <c r="AF58" s="899"/>
      <c r="AG58" s="899"/>
      <c r="AH58" s="899"/>
      <c r="AI58" s="899"/>
      <c r="AJ58" s="899"/>
      <c r="AK58" s="899"/>
      <c r="AL58" s="897"/>
      <c r="AM58" s="894"/>
      <c r="AN58" s="763"/>
      <c r="AO58" s="763"/>
      <c r="AP58" s="898"/>
      <c r="AQ58" s="898"/>
      <c r="AR58" s="900"/>
      <c r="AS58" s="900"/>
      <c r="AT58" s="899"/>
      <c r="AU58" s="899"/>
      <c r="AV58" s="895"/>
      <c r="AW58" s="895"/>
      <c r="AX58" s="899"/>
      <c r="AY58" s="899"/>
      <c r="AZ58" s="895"/>
      <c r="BA58" s="895"/>
    </row>
    <row r="59" spans="1:53" x14ac:dyDescent="0.3">
      <c r="A59" s="763" t="s">
        <v>244</v>
      </c>
      <c r="B59" s="894"/>
      <c r="C59" s="894"/>
      <c r="D59" s="43"/>
      <c r="E59" s="43"/>
      <c r="F59" s="894"/>
      <c r="G59" s="894"/>
      <c r="H59" s="894"/>
      <c r="I59" s="894"/>
      <c r="J59" s="894"/>
      <c r="K59" s="894"/>
      <c r="L59" s="894"/>
      <c r="M59" s="894"/>
      <c r="N59" s="894"/>
      <c r="O59" s="894"/>
      <c r="P59" s="894"/>
      <c r="Q59" s="894"/>
      <c r="R59" s="894"/>
      <c r="S59" s="894"/>
      <c r="T59" s="894"/>
      <c r="U59" s="894"/>
      <c r="V59" s="894"/>
      <c r="W59" s="894"/>
      <c r="X59" s="894"/>
      <c r="Y59" s="894"/>
      <c r="Z59" s="43"/>
      <c r="AA59" s="43"/>
      <c r="AB59" s="894"/>
      <c r="AC59" s="894"/>
      <c r="AD59" s="894"/>
      <c r="AE59" s="894"/>
      <c r="AF59" s="894"/>
      <c r="AG59" s="894"/>
      <c r="AH59" s="894"/>
      <c r="AI59" s="894"/>
      <c r="AJ59" s="894"/>
      <c r="AK59" s="894"/>
      <c r="AL59" s="894"/>
      <c r="AM59" s="894"/>
      <c r="AN59" s="763">
        <v>973901</v>
      </c>
      <c r="AO59" s="763">
        <v>811288</v>
      </c>
      <c r="AP59" s="894"/>
      <c r="AQ59" s="894"/>
      <c r="AR59" s="894"/>
      <c r="AS59" s="894"/>
      <c r="AT59" s="894"/>
      <c r="AU59" s="894"/>
      <c r="AV59" s="894"/>
      <c r="AW59" s="894"/>
      <c r="AX59" s="894"/>
      <c r="AY59" s="894"/>
      <c r="AZ59" s="894"/>
      <c r="BA59" s="894"/>
    </row>
    <row r="60" spans="1:53" x14ac:dyDescent="0.3">
      <c r="A60" s="763" t="s">
        <v>245</v>
      </c>
      <c r="B60" s="894"/>
      <c r="C60" s="894"/>
      <c r="D60" s="43"/>
      <c r="E60" s="43"/>
      <c r="F60" s="894"/>
      <c r="G60" s="894"/>
      <c r="H60" s="894"/>
      <c r="I60" s="894"/>
      <c r="J60" s="894"/>
      <c r="K60" s="894"/>
      <c r="L60" s="894"/>
      <c r="M60" s="894"/>
      <c r="N60" s="894"/>
      <c r="O60" s="894"/>
      <c r="P60" s="894"/>
      <c r="Q60" s="894"/>
      <c r="R60" s="894"/>
      <c r="S60" s="894"/>
      <c r="T60" s="894"/>
      <c r="U60" s="894"/>
      <c r="V60" s="894"/>
      <c r="W60" s="894"/>
      <c r="X60" s="894"/>
      <c r="Y60" s="894"/>
      <c r="Z60" s="43"/>
      <c r="AA60" s="43"/>
      <c r="AB60" s="894"/>
      <c r="AC60" s="894"/>
      <c r="AD60" s="894"/>
      <c r="AE60" s="894"/>
      <c r="AF60" s="894"/>
      <c r="AG60" s="894"/>
      <c r="AH60" s="894"/>
      <c r="AI60" s="894"/>
      <c r="AJ60" s="894"/>
      <c r="AK60" s="894"/>
      <c r="AL60" s="894"/>
      <c r="AM60" s="894"/>
      <c r="AN60" s="763">
        <v>3705071</v>
      </c>
      <c r="AO60" s="763">
        <v>3631293</v>
      </c>
      <c r="AP60" s="894"/>
      <c r="AQ60" s="894"/>
      <c r="AR60" s="894"/>
      <c r="AS60" s="894"/>
      <c r="AT60" s="894"/>
      <c r="AU60" s="894"/>
      <c r="AV60" s="894"/>
      <c r="AW60" s="894"/>
      <c r="AX60" s="894"/>
      <c r="AY60" s="894"/>
      <c r="AZ60" s="894"/>
      <c r="BA60" s="894"/>
    </row>
    <row r="61" spans="1:53" x14ac:dyDescent="0.3">
      <c r="A61" s="763" t="s">
        <v>246</v>
      </c>
      <c r="B61" s="894"/>
      <c r="C61" s="894"/>
      <c r="D61" s="43">
        <v>57457</v>
      </c>
      <c r="E61" s="43">
        <v>36372</v>
      </c>
      <c r="F61" s="894"/>
      <c r="G61" s="894"/>
      <c r="H61" s="894"/>
      <c r="I61" s="894"/>
      <c r="J61" s="894"/>
      <c r="K61" s="894"/>
      <c r="L61" s="894"/>
      <c r="M61" s="894"/>
      <c r="N61" s="894"/>
      <c r="O61" s="894"/>
      <c r="P61" s="894"/>
      <c r="Q61" s="894"/>
      <c r="R61" s="894"/>
      <c r="S61" s="894"/>
      <c r="T61" s="894"/>
      <c r="U61" s="894"/>
      <c r="V61" s="894"/>
      <c r="W61" s="894"/>
      <c r="X61" s="894"/>
      <c r="Y61" s="894"/>
      <c r="Z61" s="43">
        <v>105677</v>
      </c>
      <c r="AA61" s="43">
        <v>109240</v>
      </c>
      <c r="AB61" s="894"/>
      <c r="AC61" s="894"/>
      <c r="AD61" s="894"/>
      <c r="AE61" s="894"/>
      <c r="AF61" s="894"/>
      <c r="AG61" s="894"/>
      <c r="AH61" s="894"/>
      <c r="AI61" s="894"/>
      <c r="AJ61" s="894"/>
      <c r="AK61" s="894"/>
      <c r="AL61" s="894"/>
      <c r="AM61" s="894"/>
      <c r="AN61" s="763"/>
      <c r="AO61" s="763"/>
      <c r="AP61" s="894"/>
      <c r="AQ61" s="894"/>
      <c r="AR61" s="894"/>
      <c r="AS61" s="894"/>
      <c r="AT61" s="894"/>
      <c r="AU61" s="894"/>
      <c r="AV61" s="894"/>
      <c r="AW61" s="894"/>
      <c r="AX61" s="894"/>
      <c r="AY61" s="894"/>
      <c r="AZ61" s="894"/>
      <c r="BA61" s="894"/>
    </row>
    <row r="62" spans="1:53" x14ac:dyDescent="0.3">
      <c r="A62" s="763" t="s">
        <v>247</v>
      </c>
      <c r="B62" s="894"/>
      <c r="C62" s="894"/>
      <c r="D62" s="43">
        <v>1928</v>
      </c>
      <c r="E62" s="43">
        <v>1928</v>
      </c>
      <c r="F62" s="894"/>
      <c r="G62" s="894"/>
      <c r="H62" s="894"/>
      <c r="I62" s="894"/>
      <c r="J62" s="894"/>
      <c r="K62" s="894"/>
      <c r="L62" s="894"/>
      <c r="M62" s="894"/>
      <c r="N62" s="894"/>
      <c r="O62" s="894"/>
      <c r="P62" s="894"/>
      <c r="Q62" s="894"/>
      <c r="R62" s="894"/>
      <c r="S62" s="894"/>
      <c r="T62" s="894"/>
      <c r="U62" s="894"/>
      <c r="V62" s="894"/>
      <c r="W62" s="894"/>
      <c r="X62" s="894"/>
      <c r="Y62" s="894"/>
      <c r="Z62" s="43"/>
      <c r="AA62" s="43"/>
      <c r="AB62" s="894"/>
      <c r="AC62" s="894"/>
      <c r="AD62" s="894"/>
      <c r="AE62" s="894"/>
      <c r="AF62" s="894"/>
      <c r="AG62" s="894"/>
      <c r="AH62" s="894"/>
      <c r="AI62" s="894"/>
      <c r="AJ62" s="894"/>
      <c r="AK62" s="894"/>
      <c r="AL62" s="894"/>
      <c r="AM62" s="894"/>
      <c r="AN62" s="763"/>
      <c r="AO62" s="763"/>
      <c r="AP62" s="894"/>
      <c r="AQ62" s="894"/>
      <c r="AR62" s="894"/>
      <c r="AS62" s="894"/>
      <c r="AT62" s="894"/>
      <c r="AU62" s="894"/>
      <c r="AV62" s="894"/>
      <c r="AW62" s="894"/>
      <c r="AX62" s="894"/>
      <c r="AY62" s="894"/>
      <c r="AZ62" s="894"/>
      <c r="BA62" s="894"/>
    </row>
    <row r="63" spans="1:53" x14ac:dyDescent="0.3">
      <c r="A63" s="172" t="s">
        <v>62</v>
      </c>
      <c r="B63" s="894"/>
      <c r="C63" s="894"/>
      <c r="D63" s="43"/>
      <c r="E63" s="43"/>
      <c r="F63" s="894"/>
      <c r="G63" s="894"/>
      <c r="H63" s="894"/>
      <c r="I63" s="894"/>
      <c r="J63" s="894"/>
      <c r="K63" s="894"/>
      <c r="L63" s="894"/>
      <c r="M63" s="894"/>
      <c r="N63" s="894"/>
      <c r="O63" s="894"/>
      <c r="P63" s="894"/>
      <c r="Q63" s="894"/>
      <c r="R63" s="894"/>
      <c r="S63" s="894"/>
      <c r="T63" s="894"/>
      <c r="U63" s="894"/>
      <c r="V63" s="894"/>
      <c r="W63" s="894"/>
      <c r="X63" s="894"/>
      <c r="Y63" s="894"/>
      <c r="Z63" s="77">
        <v>1017495</v>
      </c>
      <c r="AA63" s="77">
        <v>2077842</v>
      </c>
      <c r="AB63" s="894"/>
      <c r="AC63" s="894"/>
      <c r="AD63" s="894"/>
      <c r="AE63" s="894"/>
      <c r="AF63" s="894"/>
      <c r="AG63" s="894"/>
      <c r="AH63" s="894"/>
      <c r="AI63" s="894"/>
      <c r="AJ63" s="894"/>
      <c r="AK63" s="894"/>
      <c r="AL63" s="894"/>
      <c r="AM63" s="894"/>
      <c r="AN63" s="172">
        <v>4689988</v>
      </c>
      <c r="AO63" s="172">
        <v>4453262</v>
      </c>
      <c r="AP63" s="894"/>
      <c r="AQ63" s="894"/>
      <c r="AR63" s="894"/>
      <c r="AS63" s="894"/>
      <c r="AT63" s="894"/>
      <c r="AU63" s="894"/>
      <c r="AV63" s="894"/>
      <c r="AW63" s="894"/>
      <c r="AX63" s="894"/>
      <c r="AY63" s="894"/>
      <c r="AZ63" s="894"/>
      <c r="BA63" s="894"/>
    </row>
  </sheetData>
  <mergeCells count="29">
    <mergeCell ref="A1:BA1"/>
    <mergeCell ref="A2:BA2"/>
    <mergeCell ref="A3:A4"/>
    <mergeCell ref="B3:C3"/>
    <mergeCell ref="D3:E3"/>
    <mergeCell ref="F3:G3"/>
    <mergeCell ref="H3:I3"/>
    <mergeCell ref="J3:K3"/>
    <mergeCell ref="L3:M3"/>
    <mergeCell ref="N3:O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14"/>
  <sheetViews>
    <sheetView workbookViewId="0">
      <pane xSplit="1" topLeftCell="B1" activePane="topRight" state="frozen"/>
      <selection pane="topRight" activeCell="CL4" sqref="CL4:CO4"/>
    </sheetView>
  </sheetViews>
  <sheetFormatPr defaultRowHeight="15" x14ac:dyDescent="0.25"/>
  <cols>
    <col min="1" max="1" width="30.42578125" bestFit="1" customWidth="1"/>
    <col min="2" max="3" width="11.42578125" bestFit="1" customWidth="1"/>
    <col min="4" max="4" width="12.42578125" bestFit="1" customWidth="1"/>
    <col min="5" max="5" width="13.28515625" bestFit="1" customWidth="1"/>
    <col min="6" max="7" width="11.42578125" bestFit="1" customWidth="1"/>
    <col min="8" max="8" width="12.42578125" bestFit="1" customWidth="1"/>
    <col min="9" max="9" width="13.28515625" bestFit="1" customWidth="1"/>
    <col min="10" max="11" width="11.42578125" bestFit="1" customWidth="1"/>
    <col min="12" max="12" width="12.42578125" bestFit="1" customWidth="1"/>
    <col min="13" max="13" width="13.28515625" bestFit="1" customWidth="1"/>
    <col min="14" max="15" width="11.42578125" bestFit="1" customWidth="1"/>
    <col min="16" max="16" width="12.42578125" bestFit="1" customWidth="1"/>
    <col min="17" max="17" width="13.28515625" bestFit="1" customWidth="1"/>
    <col min="18" max="19" width="11.42578125" bestFit="1" customWidth="1"/>
    <col min="20" max="20" width="12.42578125" bestFit="1" customWidth="1"/>
    <col min="21" max="21" width="13.28515625" bestFit="1" customWidth="1"/>
    <col min="22" max="23" width="11.42578125" bestFit="1" customWidth="1"/>
    <col min="24" max="24" width="12.42578125" bestFit="1" customWidth="1"/>
    <col min="25" max="25" width="13.28515625" bestFit="1" customWidth="1"/>
    <col min="26" max="27" width="11.42578125" bestFit="1" customWidth="1"/>
    <col min="28" max="28" width="12.42578125" bestFit="1" customWidth="1"/>
    <col min="29" max="29" width="13.28515625" bestFit="1" customWidth="1"/>
    <col min="30" max="31" width="11.42578125" bestFit="1" customWidth="1"/>
    <col min="32" max="32" width="12.42578125" bestFit="1" customWidth="1"/>
    <col min="33" max="33" width="13.28515625" bestFit="1" customWidth="1"/>
    <col min="34" max="35" width="11.42578125" bestFit="1" customWidth="1"/>
    <col min="36" max="36" width="12.42578125" bestFit="1" customWidth="1"/>
    <col min="37" max="37" width="13.28515625" bestFit="1" customWidth="1"/>
    <col min="38" max="39" width="11.42578125" bestFit="1" customWidth="1"/>
    <col min="40" max="40" width="12.42578125" bestFit="1" customWidth="1"/>
    <col min="41" max="41" width="13.28515625" bestFit="1" customWidth="1"/>
    <col min="42" max="43" width="11.42578125" bestFit="1" customWidth="1"/>
    <col min="44" max="44" width="12.42578125" bestFit="1" customWidth="1"/>
    <col min="45" max="45" width="13.28515625" bestFit="1" customWidth="1"/>
    <col min="46" max="47" width="11.42578125" bestFit="1" customWidth="1"/>
    <col min="48" max="48" width="12.42578125" bestFit="1" customWidth="1"/>
    <col min="49" max="49" width="13.28515625" customWidth="1"/>
    <col min="50" max="51" width="11.42578125" bestFit="1" customWidth="1"/>
    <col min="52" max="52" width="12.42578125" bestFit="1" customWidth="1"/>
    <col min="53" max="53" width="13.28515625" bestFit="1" customWidth="1"/>
    <col min="54" max="55" width="11.42578125" bestFit="1" customWidth="1"/>
    <col min="56" max="56" width="12.42578125" bestFit="1" customWidth="1"/>
    <col min="57" max="57" width="13.28515625" bestFit="1" customWidth="1"/>
    <col min="58" max="59" width="11.42578125" bestFit="1" customWidth="1"/>
    <col min="60" max="60" width="12.42578125" bestFit="1" customWidth="1"/>
    <col min="61" max="61" width="13.28515625" bestFit="1" customWidth="1"/>
    <col min="62" max="63" width="11.42578125" bestFit="1" customWidth="1"/>
    <col min="64" max="64" width="12.42578125" bestFit="1" customWidth="1"/>
    <col min="65" max="65" width="13.28515625" bestFit="1" customWidth="1"/>
    <col min="66" max="67" width="11.42578125" customWidth="1"/>
    <col min="68" max="68" width="12.42578125" bestFit="1" customWidth="1"/>
    <col min="69" max="69" width="13.28515625" bestFit="1" customWidth="1"/>
    <col min="70" max="71" width="11.42578125" bestFit="1" customWidth="1"/>
    <col min="72" max="72" width="12.42578125" bestFit="1" customWidth="1"/>
    <col min="73" max="73" width="13.28515625" bestFit="1" customWidth="1"/>
    <col min="74" max="75" width="11.42578125" bestFit="1" customWidth="1"/>
    <col min="76" max="76" width="12.42578125" bestFit="1" customWidth="1"/>
    <col min="77" max="77" width="13.28515625" bestFit="1" customWidth="1"/>
    <col min="78" max="79" width="11.42578125" customWidth="1"/>
    <col min="80" max="80" width="12.42578125" bestFit="1" customWidth="1"/>
    <col min="81" max="81" width="13.28515625" bestFit="1" customWidth="1"/>
    <col min="82" max="83" width="11.42578125" bestFit="1" customWidth="1"/>
    <col min="84" max="84" width="12.42578125" bestFit="1" customWidth="1"/>
    <col min="85" max="85" width="13.28515625" bestFit="1" customWidth="1"/>
    <col min="86" max="87" width="11.42578125" bestFit="1" customWidth="1"/>
    <col min="88" max="88" width="12.42578125" bestFit="1" customWidth="1"/>
    <col min="89" max="89" width="13.28515625" bestFit="1" customWidth="1"/>
    <col min="90" max="91" width="11.42578125" bestFit="1" customWidth="1"/>
    <col min="92" max="92" width="12.42578125" bestFit="1" customWidth="1"/>
    <col min="93" max="93" width="13.28515625" bestFit="1" customWidth="1"/>
    <col min="94" max="95" width="11.42578125" bestFit="1" customWidth="1"/>
    <col min="96" max="96" width="12.42578125" bestFit="1" customWidth="1"/>
    <col min="97" max="97" width="13.28515625" bestFit="1" customWidth="1"/>
    <col min="98" max="99" width="11.42578125" bestFit="1" customWidth="1"/>
    <col min="100" max="100" width="12.42578125" bestFit="1" customWidth="1"/>
    <col min="101" max="101" width="13.28515625" bestFit="1" customWidth="1"/>
    <col min="102" max="103" width="11.42578125" bestFit="1" customWidth="1"/>
    <col min="104" max="104" width="12.42578125" bestFit="1" customWidth="1"/>
    <col min="105" max="105" width="13.28515625" bestFit="1" customWidth="1"/>
  </cols>
  <sheetData>
    <row r="1" spans="1:105" s="313" customFormat="1" ht="18" x14ac:dyDescent="0.35">
      <c r="A1" s="1378" t="s">
        <v>66</v>
      </c>
      <c r="B1" s="1378"/>
      <c r="C1" s="1378"/>
      <c r="D1" s="1378"/>
      <c r="E1" s="1378"/>
      <c r="F1" s="1378"/>
      <c r="G1" s="1378"/>
      <c r="H1" s="1378"/>
      <c r="I1" s="1378"/>
      <c r="J1" s="1378"/>
      <c r="K1" s="1378"/>
      <c r="L1" s="1378"/>
      <c r="M1" s="1378"/>
      <c r="N1" s="1378"/>
      <c r="O1" s="1378"/>
      <c r="P1" s="1378"/>
      <c r="Q1" s="1378"/>
      <c r="R1" s="1378"/>
      <c r="S1" s="1378"/>
      <c r="T1" s="1378"/>
      <c r="U1" s="1378"/>
      <c r="V1" s="1378"/>
      <c r="W1" s="1378"/>
      <c r="X1" s="1378"/>
      <c r="Y1" s="1378"/>
      <c r="Z1" s="1378"/>
      <c r="AA1" s="1378"/>
      <c r="AB1" s="1378"/>
      <c r="AC1" s="1378"/>
      <c r="AD1" s="1378"/>
      <c r="AE1" s="1378"/>
      <c r="AF1" s="1378"/>
      <c r="AG1" s="1378"/>
      <c r="AH1" s="1378"/>
      <c r="AI1" s="1378"/>
      <c r="AJ1" s="1378"/>
      <c r="AK1" s="1378"/>
      <c r="AL1" s="1378"/>
      <c r="AM1" s="1378"/>
      <c r="AN1" s="1378"/>
      <c r="AO1" s="1378"/>
      <c r="AP1" s="1378"/>
      <c r="AQ1" s="1378"/>
      <c r="AR1" s="1378"/>
      <c r="AS1" s="1378"/>
      <c r="AT1" s="1378"/>
      <c r="AU1" s="1378"/>
      <c r="AV1" s="1378"/>
      <c r="AW1" s="1378"/>
      <c r="AX1" s="1378"/>
      <c r="AY1" s="1378"/>
      <c r="AZ1" s="1378"/>
      <c r="BA1" s="1378"/>
      <c r="BB1" s="1378"/>
      <c r="BC1" s="1378"/>
      <c r="BD1" s="1378"/>
      <c r="BE1" s="1378"/>
      <c r="BF1" s="1378"/>
      <c r="BG1" s="1378"/>
      <c r="BH1" s="1378"/>
      <c r="BI1" s="1378"/>
      <c r="BJ1" s="1378"/>
      <c r="BK1" s="1378"/>
      <c r="BL1" s="1378"/>
      <c r="BM1" s="1378"/>
      <c r="BN1" s="1378"/>
      <c r="BO1" s="1378"/>
      <c r="BP1" s="1378"/>
      <c r="BQ1" s="1378"/>
      <c r="BR1" s="1378"/>
      <c r="BS1" s="1378"/>
      <c r="BT1" s="1378"/>
      <c r="BU1" s="1378"/>
      <c r="BV1" s="1378"/>
      <c r="BW1" s="1378"/>
      <c r="BX1" s="1378"/>
      <c r="BY1" s="1378"/>
      <c r="BZ1" s="1378"/>
      <c r="CA1" s="1378"/>
      <c r="CB1" s="1378"/>
      <c r="CC1" s="1378"/>
      <c r="CD1" s="1378"/>
      <c r="CE1" s="1378"/>
      <c r="CF1" s="1378"/>
      <c r="CG1" s="1378"/>
      <c r="CH1" s="1378"/>
      <c r="CI1" s="1378"/>
      <c r="CJ1" s="1378"/>
      <c r="CK1" s="1378"/>
      <c r="CL1" s="1378"/>
      <c r="CM1" s="1378"/>
      <c r="CN1" s="1378"/>
      <c r="CO1" s="1378"/>
      <c r="CP1" s="1378"/>
      <c r="CQ1" s="1378"/>
      <c r="CR1" s="1378"/>
      <c r="CS1" s="1378"/>
      <c r="CT1" s="1378"/>
      <c r="CU1" s="1378"/>
      <c r="CV1" s="1378"/>
      <c r="CW1" s="1378"/>
      <c r="CX1" s="1378"/>
      <c r="CY1" s="1378"/>
    </row>
    <row r="2" spans="1:105" s="313" customFormat="1" ht="17.25" thickBot="1" x14ac:dyDescent="0.35">
      <c r="A2" s="1379" t="s">
        <v>67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379"/>
      <c r="M2" s="1379"/>
      <c r="N2" s="1379"/>
      <c r="O2" s="1379"/>
      <c r="P2" s="1379"/>
      <c r="Q2" s="1379"/>
      <c r="R2" s="1379"/>
      <c r="S2" s="1379"/>
      <c r="T2" s="1379"/>
      <c r="U2" s="1379"/>
      <c r="V2" s="1379"/>
      <c r="W2" s="1379"/>
      <c r="X2" s="1379"/>
      <c r="Y2" s="1379"/>
      <c r="Z2" s="1379"/>
      <c r="AA2" s="1379"/>
      <c r="AB2" s="1379"/>
      <c r="AC2" s="1379"/>
      <c r="AD2" s="1379"/>
      <c r="AE2" s="1379"/>
      <c r="AF2" s="1379"/>
      <c r="AG2" s="1379"/>
      <c r="AH2" s="1379"/>
      <c r="AI2" s="1379"/>
      <c r="AJ2" s="1379"/>
      <c r="AK2" s="1379"/>
      <c r="AL2" s="1379"/>
      <c r="AM2" s="1379"/>
      <c r="AN2" s="1379"/>
      <c r="AO2" s="1379"/>
      <c r="AP2" s="1379"/>
      <c r="AQ2" s="1379"/>
      <c r="AR2" s="1379"/>
      <c r="AS2" s="1379"/>
      <c r="AT2" s="1379"/>
      <c r="AU2" s="1379"/>
      <c r="AV2" s="1379"/>
      <c r="AW2" s="1379"/>
      <c r="AX2" s="1379"/>
      <c r="AY2" s="1379"/>
      <c r="AZ2" s="1379"/>
      <c r="BA2" s="1379"/>
      <c r="BB2" s="1379"/>
      <c r="BC2" s="1379"/>
      <c r="BD2" s="1379"/>
      <c r="BE2" s="1379"/>
      <c r="BF2" s="1379"/>
      <c r="BG2" s="1379"/>
      <c r="BH2" s="1379"/>
      <c r="BI2" s="1379"/>
      <c r="BJ2" s="1379"/>
      <c r="BK2" s="1379"/>
      <c r="BL2" s="1379"/>
      <c r="BM2" s="1379"/>
      <c r="BN2" s="1379"/>
      <c r="BO2" s="1379"/>
      <c r="BP2" s="1379"/>
      <c r="BQ2" s="1379"/>
      <c r="BR2" s="1379"/>
      <c r="BS2" s="1379"/>
      <c r="BT2" s="1379"/>
      <c r="BU2" s="1379"/>
      <c r="BV2" s="1379"/>
      <c r="BW2" s="1379"/>
      <c r="BX2" s="1379"/>
      <c r="BY2" s="1379"/>
      <c r="BZ2" s="1379"/>
      <c r="CA2" s="1379"/>
      <c r="CB2" s="1379"/>
      <c r="CC2" s="1379"/>
      <c r="CD2" s="1379"/>
      <c r="CE2" s="1379"/>
      <c r="CF2" s="1379"/>
      <c r="CG2" s="1379"/>
      <c r="CH2" s="1379"/>
      <c r="CI2" s="1379"/>
      <c r="CJ2" s="1379"/>
      <c r="CK2" s="1379"/>
      <c r="CL2" s="1379"/>
      <c r="CM2" s="1379"/>
      <c r="CN2" s="1379"/>
      <c r="CO2" s="1379"/>
      <c r="CP2" s="1379"/>
      <c r="CQ2" s="1379"/>
      <c r="CR2" s="1379"/>
      <c r="CS2" s="1379"/>
      <c r="CT2" s="1379"/>
      <c r="CU2" s="1379"/>
      <c r="CV2" s="1379"/>
      <c r="CW2" s="1379"/>
      <c r="CX2" s="1379"/>
      <c r="CY2" s="1379"/>
    </row>
    <row r="3" spans="1:105" s="313" customFormat="1" ht="16.5" x14ac:dyDescent="0.3">
      <c r="A3" s="1380" t="s">
        <v>1</v>
      </c>
      <c r="B3" s="1382" t="s">
        <v>258</v>
      </c>
      <c r="C3" s="1383"/>
      <c r="D3" s="1383"/>
      <c r="E3" s="1384"/>
      <c r="F3" s="1369" t="s">
        <v>259</v>
      </c>
      <c r="G3" s="1370"/>
      <c r="H3" s="1370"/>
      <c r="I3" s="1371"/>
      <c r="J3" s="1369" t="s">
        <v>260</v>
      </c>
      <c r="K3" s="1370"/>
      <c r="L3" s="1370"/>
      <c r="M3" s="1370"/>
      <c r="N3" s="1369" t="s">
        <v>261</v>
      </c>
      <c r="O3" s="1370"/>
      <c r="P3" s="1370"/>
      <c r="Q3" s="1371"/>
      <c r="R3" s="1369" t="s">
        <v>262</v>
      </c>
      <c r="S3" s="1370"/>
      <c r="T3" s="1370"/>
      <c r="U3" s="1371"/>
      <c r="V3" s="1369" t="s">
        <v>263</v>
      </c>
      <c r="W3" s="1370"/>
      <c r="X3" s="1370"/>
      <c r="Y3" s="1371"/>
      <c r="Z3" s="1369" t="s">
        <v>264</v>
      </c>
      <c r="AA3" s="1370"/>
      <c r="AB3" s="1370"/>
      <c r="AC3" s="1371"/>
      <c r="AD3" s="1369" t="s">
        <v>265</v>
      </c>
      <c r="AE3" s="1370"/>
      <c r="AF3" s="1370"/>
      <c r="AG3" s="1371"/>
      <c r="AH3" s="1369" t="s">
        <v>266</v>
      </c>
      <c r="AI3" s="1370"/>
      <c r="AJ3" s="1370"/>
      <c r="AK3" s="1371"/>
      <c r="AL3" s="1369" t="s">
        <v>267</v>
      </c>
      <c r="AM3" s="1370"/>
      <c r="AN3" s="1370"/>
      <c r="AO3" s="1371"/>
      <c r="AP3" s="1369" t="s">
        <v>268</v>
      </c>
      <c r="AQ3" s="1370"/>
      <c r="AR3" s="1370"/>
      <c r="AS3" s="1371"/>
      <c r="AT3" s="1369" t="s">
        <v>269</v>
      </c>
      <c r="AU3" s="1370"/>
      <c r="AV3" s="1370"/>
      <c r="AW3" s="1371"/>
      <c r="AX3" s="1369" t="s">
        <v>270</v>
      </c>
      <c r="AY3" s="1370"/>
      <c r="AZ3" s="1370"/>
      <c r="BA3" s="1371"/>
      <c r="BB3" s="1369" t="s">
        <v>271</v>
      </c>
      <c r="BC3" s="1370"/>
      <c r="BD3" s="1370"/>
      <c r="BE3" s="1371"/>
      <c r="BF3" s="1375" t="s">
        <v>272</v>
      </c>
      <c r="BG3" s="1376"/>
      <c r="BH3" s="1376"/>
      <c r="BI3" s="1377"/>
      <c r="BJ3" s="1369" t="s">
        <v>273</v>
      </c>
      <c r="BK3" s="1370"/>
      <c r="BL3" s="1370"/>
      <c r="BM3" s="1371"/>
      <c r="BN3" s="1369" t="s">
        <v>274</v>
      </c>
      <c r="BO3" s="1370"/>
      <c r="BP3" s="1370"/>
      <c r="BQ3" s="1371"/>
      <c r="BR3" s="1369" t="s">
        <v>275</v>
      </c>
      <c r="BS3" s="1370"/>
      <c r="BT3" s="1370"/>
      <c r="BU3" s="1371"/>
      <c r="BV3" s="1375" t="s">
        <v>276</v>
      </c>
      <c r="BW3" s="1376"/>
      <c r="BX3" s="1376"/>
      <c r="BY3" s="1377"/>
      <c r="BZ3" s="1369" t="s">
        <v>277</v>
      </c>
      <c r="CA3" s="1370"/>
      <c r="CB3" s="1370"/>
      <c r="CC3" s="1371"/>
      <c r="CD3" s="1369" t="s">
        <v>278</v>
      </c>
      <c r="CE3" s="1370"/>
      <c r="CF3" s="1370"/>
      <c r="CG3" s="1371"/>
      <c r="CH3" s="1369" t="s">
        <v>279</v>
      </c>
      <c r="CI3" s="1370"/>
      <c r="CJ3" s="1370"/>
      <c r="CK3" s="1371"/>
      <c r="CL3" s="1369" t="s">
        <v>280</v>
      </c>
      <c r="CM3" s="1370"/>
      <c r="CN3" s="1370"/>
      <c r="CO3" s="1371"/>
      <c r="CP3" s="1369" t="s">
        <v>2</v>
      </c>
      <c r="CQ3" s="1370"/>
      <c r="CR3" s="1370"/>
      <c r="CS3" s="1371"/>
      <c r="CT3" s="1375" t="s">
        <v>281</v>
      </c>
      <c r="CU3" s="1376"/>
      <c r="CV3" s="1376"/>
      <c r="CW3" s="1377"/>
      <c r="CX3" s="1372" t="s">
        <v>3</v>
      </c>
      <c r="CY3" s="1373"/>
      <c r="CZ3" s="1373"/>
      <c r="DA3" s="1374"/>
    </row>
    <row r="4" spans="1:105" x14ac:dyDescent="0.25">
      <c r="A4" s="1381"/>
      <c r="B4" s="24" t="s">
        <v>4</v>
      </c>
      <c r="C4" s="24" t="s">
        <v>5</v>
      </c>
      <c r="D4" s="24" t="s">
        <v>6</v>
      </c>
      <c r="E4" s="24" t="s">
        <v>7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4</v>
      </c>
      <c r="K4" s="24" t="s">
        <v>5</v>
      </c>
      <c r="L4" s="24" t="s">
        <v>6</v>
      </c>
      <c r="M4" s="24" t="s">
        <v>7</v>
      </c>
      <c r="N4" s="24" t="s">
        <v>4</v>
      </c>
      <c r="O4" s="24" t="s">
        <v>5</v>
      </c>
      <c r="P4" s="24" t="s">
        <v>6</v>
      </c>
      <c r="Q4" s="24" t="s">
        <v>7</v>
      </c>
      <c r="R4" s="24" t="s">
        <v>4</v>
      </c>
      <c r="S4" s="24" t="s">
        <v>5</v>
      </c>
      <c r="T4" s="24" t="s">
        <v>6</v>
      </c>
      <c r="U4" s="24" t="s">
        <v>7</v>
      </c>
      <c r="V4" s="24" t="s">
        <v>4</v>
      </c>
      <c r="W4" s="24" t="s">
        <v>5</v>
      </c>
      <c r="X4" s="24" t="s">
        <v>6</v>
      </c>
      <c r="Y4" s="24" t="s">
        <v>7</v>
      </c>
      <c r="Z4" s="24" t="s">
        <v>4</v>
      </c>
      <c r="AA4" s="24" t="s">
        <v>5</v>
      </c>
      <c r="AB4" s="24" t="s">
        <v>6</v>
      </c>
      <c r="AC4" s="24" t="s">
        <v>7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4</v>
      </c>
      <c r="AI4" s="24" t="s">
        <v>5</v>
      </c>
      <c r="AJ4" s="24" t="s">
        <v>6</v>
      </c>
      <c r="AK4" s="24" t="s">
        <v>7</v>
      </c>
      <c r="AL4" s="24" t="s">
        <v>4</v>
      </c>
      <c r="AM4" s="24" t="s">
        <v>5</v>
      </c>
      <c r="AN4" s="24" t="s">
        <v>6</v>
      </c>
      <c r="AO4" s="24" t="s">
        <v>7</v>
      </c>
      <c r="AP4" s="24" t="s">
        <v>4</v>
      </c>
      <c r="AQ4" s="24" t="s">
        <v>5</v>
      </c>
      <c r="AR4" s="24" t="s">
        <v>6</v>
      </c>
      <c r="AS4" s="24" t="s">
        <v>7</v>
      </c>
      <c r="AT4" s="24" t="s">
        <v>4</v>
      </c>
      <c r="AU4" s="24" t="s">
        <v>5</v>
      </c>
      <c r="AV4" s="24" t="s">
        <v>6</v>
      </c>
      <c r="AW4" s="24" t="s">
        <v>7</v>
      </c>
      <c r="AX4" s="24" t="s">
        <v>4</v>
      </c>
      <c r="AY4" s="24" t="s">
        <v>5</v>
      </c>
      <c r="AZ4" s="24" t="s">
        <v>6</v>
      </c>
      <c r="BA4" s="24" t="s">
        <v>7</v>
      </c>
      <c r="BB4" s="24" t="s">
        <v>4</v>
      </c>
      <c r="BC4" s="24" t="s">
        <v>5</v>
      </c>
      <c r="BD4" s="24" t="s">
        <v>6</v>
      </c>
      <c r="BE4" s="24" t="s">
        <v>7</v>
      </c>
      <c r="BF4" s="24" t="s">
        <v>4</v>
      </c>
      <c r="BG4" s="24" t="s">
        <v>5</v>
      </c>
      <c r="BH4" s="24" t="s">
        <v>6</v>
      </c>
      <c r="BI4" s="24" t="s">
        <v>7</v>
      </c>
      <c r="BJ4" s="24" t="s">
        <v>4</v>
      </c>
      <c r="BK4" s="24" t="s">
        <v>5</v>
      </c>
      <c r="BL4" s="24" t="s">
        <v>6</v>
      </c>
      <c r="BM4" s="24" t="s">
        <v>7</v>
      </c>
      <c r="BN4" s="24" t="s">
        <v>4</v>
      </c>
      <c r="BO4" s="24" t="s">
        <v>5</v>
      </c>
      <c r="BP4" s="24" t="s">
        <v>6</v>
      </c>
      <c r="BQ4" s="24" t="s">
        <v>7</v>
      </c>
      <c r="BR4" s="24" t="s">
        <v>4</v>
      </c>
      <c r="BS4" s="24" t="s">
        <v>5</v>
      </c>
      <c r="BT4" s="24" t="s">
        <v>6</v>
      </c>
      <c r="BU4" s="24" t="s">
        <v>7</v>
      </c>
      <c r="BV4" s="24" t="s">
        <v>4</v>
      </c>
      <c r="BW4" s="24" t="s">
        <v>5</v>
      </c>
      <c r="BX4" s="24" t="s">
        <v>6</v>
      </c>
      <c r="BY4" s="24" t="s">
        <v>7</v>
      </c>
      <c r="BZ4" s="24" t="s">
        <v>4</v>
      </c>
      <c r="CA4" s="24" t="s">
        <v>5</v>
      </c>
      <c r="CB4" s="24" t="s">
        <v>6</v>
      </c>
      <c r="CC4" s="24" t="s">
        <v>7</v>
      </c>
      <c r="CD4" s="24" t="s">
        <v>4</v>
      </c>
      <c r="CE4" s="24" t="s">
        <v>5</v>
      </c>
      <c r="CF4" s="24" t="s">
        <v>6</v>
      </c>
      <c r="CG4" s="24" t="s">
        <v>7</v>
      </c>
      <c r="CH4" s="24" t="s">
        <v>4</v>
      </c>
      <c r="CI4" s="24" t="s">
        <v>5</v>
      </c>
      <c r="CJ4" s="24" t="s">
        <v>6</v>
      </c>
      <c r="CK4" s="24" t="s">
        <v>7</v>
      </c>
      <c r="CL4" s="24" t="s">
        <v>4</v>
      </c>
      <c r="CM4" s="24" t="s">
        <v>5</v>
      </c>
      <c r="CN4" s="24" t="s">
        <v>6</v>
      </c>
      <c r="CO4" s="24" t="s">
        <v>7</v>
      </c>
      <c r="CP4" s="24" t="s">
        <v>4</v>
      </c>
      <c r="CQ4" s="24" t="s">
        <v>5</v>
      </c>
      <c r="CR4" s="24" t="s">
        <v>6</v>
      </c>
      <c r="CS4" s="24" t="s">
        <v>7</v>
      </c>
      <c r="CT4" s="24" t="s">
        <v>4</v>
      </c>
      <c r="CU4" s="24" t="s">
        <v>5</v>
      </c>
      <c r="CV4" s="24" t="s">
        <v>6</v>
      </c>
      <c r="CW4" s="24" t="s">
        <v>7</v>
      </c>
      <c r="CX4" s="24" t="s">
        <v>4</v>
      </c>
      <c r="CY4" s="24" t="s">
        <v>5</v>
      </c>
      <c r="CZ4" s="24" t="s">
        <v>6</v>
      </c>
      <c r="DA4" s="24" t="s">
        <v>7</v>
      </c>
    </row>
    <row r="5" spans="1:105" s="327" customFormat="1" ht="14.25" x14ac:dyDescent="0.25">
      <c r="A5" s="314" t="s">
        <v>29</v>
      </c>
      <c r="B5" s="315"/>
      <c r="C5" s="316"/>
      <c r="D5" s="316"/>
      <c r="E5" s="317"/>
      <c r="F5" s="318"/>
      <c r="G5" s="316"/>
      <c r="H5" s="316"/>
      <c r="I5" s="317"/>
      <c r="J5" s="318"/>
      <c r="K5" s="316"/>
      <c r="L5" s="316"/>
      <c r="M5" s="319"/>
      <c r="N5" s="318"/>
      <c r="O5" s="316"/>
      <c r="P5" s="316"/>
      <c r="Q5" s="317"/>
      <c r="R5" s="318"/>
      <c r="S5" s="316"/>
      <c r="T5" s="316"/>
      <c r="U5" s="317"/>
      <c r="V5" s="318"/>
      <c r="W5" s="316"/>
      <c r="X5" s="316"/>
      <c r="Y5" s="317"/>
      <c r="Z5" s="318"/>
      <c r="AA5" s="316"/>
      <c r="AB5" s="316"/>
      <c r="AC5" s="317"/>
      <c r="AD5" s="318"/>
      <c r="AE5" s="316"/>
      <c r="AF5" s="316"/>
      <c r="AG5" s="317"/>
      <c r="AH5" s="318"/>
      <c r="AI5" s="316"/>
      <c r="AJ5" s="316"/>
      <c r="AK5" s="317"/>
      <c r="AL5" s="318"/>
      <c r="AM5" s="316"/>
      <c r="AN5" s="316"/>
      <c r="AO5" s="317"/>
      <c r="AP5" s="320"/>
      <c r="AQ5" s="321"/>
      <c r="AR5" s="321"/>
      <c r="AS5" s="322"/>
      <c r="AT5" s="318"/>
      <c r="AU5" s="316"/>
      <c r="AV5" s="316"/>
      <c r="AW5" s="317"/>
      <c r="AX5" s="318"/>
      <c r="AY5" s="316"/>
      <c r="AZ5" s="316"/>
      <c r="BA5" s="317"/>
      <c r="BB5" s="318"/>
      <c r="BC5" s="316"/>
      <c r="BD5" s="316"/>
      <c r="BE5" s="317"/>
      <c r="BF5" s="318"/>
      <c r="BG5" s="316"/>
      <c r="BH5" s="316"/>
      <c r="BI5" s="317"/>
      <c r="BJ5" s="318"/>
      <c r="BK5" s="316"/>
      <c r="BL5" s="316"/>
      <c r="BM5" s="317"/>
      <c r="BN5" s="318"/>
      <c r="BO5" s="316"/>
      <c r="BP5" s="316"/>
      <c r="BQ5" s="317"/>
      <c r="BR5" s="318"/>
      <c r="BS5" s="316"/>
      <c r="BT5" s="316"/>
      <c r="BU5" s="317"/>
      <c r="BV5" s="318"/>
      <c r="BW5" s="316"/>
      <c r="BX5" s="316"/>
      <c r="BY5" s="317"/>
      <c r="BZ5" s="318"/>
      <c r="CA5" s="316"/>
      <c r="CB5" s="316"/>
      <c r="CC5" s="317"/>
      <c r="CD5" s="318"/>
      <c r="CE5" s="316"/>
      <c r="CF5" s="316"/>
      <c r="CG5" s="317"/>
      <c r="CH5" s="318"/>
      <c r="CI5" s="316"/>
      <c r="CJ5" s="316"/>
      <c r="CK5" s="317"/>
      <c r="CL5" s="318"/>
      <c r="CM5" s="316"/>
      <c r="CN5" s="316"/>
      <c r="CO5" s="317"/>
      <c r="CP5" s="318"/>
      <c r="CQ5" s="319"/>
      <c r="CR5" s="323"/>
      <c r="CS5" s="324"/>
      <c r="CT5" s="318"/>
      <c r="CU5" s="316"/>
      <c r="CV5" s="316"/>
      <c r="CW5" s="317"/>
      <c r="CX5" s="318"/>
      <c r="CY5" s="316"/>
      <c r="CZ5" s="325"/>
      <c r="DA5" s="326"/>
    </row>
    <row r="6" spans="1:105" s="327" customFormat="1" ht="14.25" x14ac:dyDescent="0.3">
      <c r="A6" s="314" t="s">
        <v>30</v>
      </c>
      <c r="B6" s="328"/>
      <c r="C6" s="329"/>
      <c r="D6" s="329"/>
      <c r="E6" s="330"/>
      <c r="F6" s="331"/>
      <c r="G6" s="332"/>
      <c r="H6" s="332"/>
      <c r="I6" s="333"/>
      <c r="J6" s="331"/>
      <c r="K6" s="332"/>
      <c r="L6" s="332"/>
      <c r="M6" s="334"/>
      <c r="N6" s="331"/>
      <c r="O6" s="332"/>
      <c r="P6" s="332"/>
      <c r="Q6" s="333"/>
      <c r="R6" s="331"/>
      <c r="S6" s="332"/>
      <c r="T6" s="332"/>
      <c r="U6" s="333"/>
      <c r="V6" s="331"/>
      <c r="W6" s="332"/>
      <c r="X6" s="332"/>
      <c r="Y6" s="333"/>
      <c r="Z6" s="331"/>
      <c r="AA6" s="332"/>
      <c r="AB6" s="332"/>
      <c r="AC6" s="333"/>
      <c r="AD6" s="331"/>
      <c r="AE6" s="332"/>
      <c r="AF6" s="332"/>
      <c r="AG6" s="333"/>
      <c r="AH6" s="331"/>
      <c r="AI6" s="332"/>
      <c r="AJ6" s="332"/>
      <c r="AK6" s="333"/>
      <c r="AL6" s="331"/>
      <c r="AM6" s="332"/>
      <c r="AN6" s="332"/>
      <c r="AO6" s="333"/>
      <c r="AP6" s="335"/>
      <c r="AQ6" s="336"/>
      <c r="AR6" s="336"/>
      <c r="AS6" s="337"/>
      <c r="AT6" s="331"/>
      <c r="AU6" s="332"/>
      <c r="AV6" s="332"/>
      <c r="AW6" s="333"/>
      <c r="AX6" s="338"/>
      <c r="AY6" s="339"/>
      <c r="AZ6" s="339"/>
      <c r="BA6" s="340"/>
      <c r="BB6" s="331"/>
      <c r="BC6" s="332"/>
      <c r="BD6" s="332"/>
      <c r="BE6" s="333"/>
      <c r="BF6" s="331"/>
      <c r="BG6" s="332"/>
      <c r="BH6" s="332"/>
      <c r="BI6" s="333"/>
      <c r="BJ6" s="331"/>
      <c r="BK6" s="332"/>
      <c r="BL6" s="332"/>
      <c r="BM6" s="333"/>
      <c r="BN6" s="331"/>
      <c r="BO6" s="332"/>
      <c r="BP6" s="332"/>
      <c r="BQ6" s="333"/>
      <c r="BR6" s="331"/>
      <c r="BS6" s="332"/>
      <c r="BT6" s="332"/>
      <c r="BU6" s="333"/>
      <c r="BV6" s="341"/>
      <c r="BW6" s="332"/>
      <c r="BX6" s="332"/>
      <c r="BY6" s="333"/>
      <c r="BZ6" s="342"/>
      <c r="CA6" s="325"/>
      <c r="CB6" s="325"/>
      <c r="CC6" s="326"/>
      <c r="CD6" s="343"/>
      <c r="CE6" s="344"/>
      <c r="CF6" s="344"/>
      <c r="CG6" s="345"/>
      <c r="CH6" s="346"/>
      <c r="CI6" s="347"/>
      <c r="CJ6" s="347"/>
      <c r="CK6" s="348"/>
      <c r="CL6" s="331"/>
      <c r="CM6" s="332"/>
      <c r="CN6" s="332"/>
      <c r="CO6" s="333"/>
      <c r="CP6" s="349"/>
      <c r="CQ6" s="350"/>
      <c r="CR6" s="351"/>
      <c r="CS6" s="352"/>
      <c r="CT6" s="346"/>
      <c r="CU6" s="347"/>
      <c r="CV6" s="347"/>
      <c r="CW6" s="348"/>
      <c r="CX6" s="349"/>
      <c r="CY6" s="353"/>
      <c r="CZ6" s="332"/>
      <c r="DA6" s="326"/>
    </row>
    <row r="7" spans="1:105" s="327" customFormat="1" ht="14.25" x14ac:dyDescent="0.3">
      <c r="A7" s="314" t="s">
        <v>31</v>
      </c>
      <c r="B7" s="354">
        <v>4822070</v>
      </c>
      <c r="C7" s="355">
        <v>2836349</v>
      </c>
      <c r="D7" s="355">
        <v>11262328</v>
      </c>
      <c r="E7" s="356">
        <v>7446566</v>
      </c>
      <c r="F7" s="335">
        <v>259759</v>
      </c>
      <c r="G7" s="336">
        <v>308480</v>
      </c>
      <c r="H7" s="336">
        <v>727175</v>
      </c>
      <c r="I7" s="337">
        <v>789335</v>
      </c>
      <c r="J7" s="335">
        <v>454463</v>
      </c>
      <c r="K7" s="336">
        <v>640445</v>
      </c>
      <c r="L7" s="336">
        <v>1339527</v>
      </c>
      <c r="M7" s="357">
        <v>1791468</v>
      </c>
      <c r="N7" s="335">
        <v>4229945</v>
      </c>
      <c r="O7" s="336">
        <v>3651919</v>
      </c>
      <c r="P7" s="336">
        <v>10496204</v>
      </c>
      <c r="Q7" s="337">
        <v>9220882</v>
      </c>
      <c r="R7" s="335">
        <v>1405474</v>
      </c>
      <c r="S7" s="336">
        <v>1103327</v>
      </c>
      <c r="T7" s="336">
        <v>3831603</v>
      </c>
      <c r="U7" s="337">
        <v>2617630</v>
      </c>
      <c r="V7" s="335">
        <v>1926603</v>
      </c>
      <c r="W7" s="336">
        <v>2022208</v>
      </c>
      <c r="X7" s="336">
        <v>5646834</v>
      </c>
      <c r="Y7" s="337">
        <v>5453820</v>
      </c>
      <c r="Z7" s="335">
        <v>621084</v>
      </c>
      <c r="AA7" s="336">
        <v>811954</v>
      </c>
      <c r="AB7" s="336">
        <v>2339537</v>
      </c>
      <c r="AC7" s="337">
        <v>2111821</v>
      </c>
      <c r="AD7" s="335">
        <v>932497</v>
      </c>
      <c r="AE7" s="336">
        <v>587091</v>
      </c>
      <c r="AF7" s="336">
        <v>2299553</v>
      </c>
      <c r="AG7" s="337">
        <v>1430631</v>
      </c>
      <c r="AH7" s="335">
        <v>1598557</v>
      </c>
      <c r="AI7" s="336">
        <v>1750577</v>
      </c>
      <c r="AJ7" s="336">
        <v>4725123</v>
      </c>
      <c r="AK7" s="337">
        <v>4668727</v>
      </c>
      <c r="AL7" s="335">
        <v>1526098</v>
      </c>
      <c r="AM7" s="336">
        <v>1171658</v>
      </c>
      <c r="AN7" s="336">
        <v>3662351</v>
      </c>
      <c r="AO7" s="337">
        <v>3194646</v>
      </c>
      <c r="AP7" s="335">
        <v>12523352</v>
      </c>
      <c r="AQ7" s="336">
        <v>12023575</v>
      </c>
      <c r="AR7" s="336">
        <v>32712005</v>
      </c>
      <c r="AS7" s="337">
        <v>30028545</v>
      </c>
      <c r="AT7" s="335">
        <v>16438322</v>
      </c>
      <c r="AU7" s="336">
        <v>47418977</v>
      </c>
      <c r="AV7" s="358">
        <v>19339355</v>
      </c>
      <c r="AW7" s="359">
        <v>53348720</v>
      </c>
      <c r="AX7" s="360">
        <v>1049104</v>
      </c>
      <c r="AY7" s="361">
        <v>950435</v>
      </c>
      <c r="AZ7" s="361">
        <v>2863871</v>
      </c>
      <c r="BA7" s="362">
        <v>2804754</v>
      </c>
      <c r="BB7" s="335">
        <v>1575392</v>
      </c>
      <c r="BC7" s="336">
        <v>1363473</v>
      </c>
      <c r="BD7" s="336">
        <v>4090913</v>
      </c>
      <c r="BE7" s="337">
        <v>3689248</v>
      </c>
      <c r="BF7" s="335">
        <v>5561710</v>
      </c>
      <c r="BG7" s="336">
        <v>5821057</v>
      </c>
      <c r="BH7" s="336">
        <v>14525263</v>
      </c>
      <c r="BI7" s="337">
        <v>13514411</v>
      </c>
      <c r="BJ7" s="335"/>
      <c r="BK7" s="336">
        <v>22420691</v>
      </c>
      <c r="BL7" s="336"/>
      <c r="BM7" s="337">
        <v>18528142</v>
      </c>
      <c r="BN7" s="335">
        <v>3406972</v>
      </c>
      <c r="BO7" s="336">
        <v>8989428</v>
      </c>
      <c r="BP7" s="336">
        <v>3147422</v>
      </c>
      <c r="BQ7" s="337">
        <v>8010572</v>
      </c>
      <c r="BR7" s="335">
        <v>2294255</v>
      </c>
      <c r="BS7" s="336">
        <v>6482360</v>
      </c>
      <c r="BT7" s="336">
        <v>1913579</v>
      </c>
      <c r="BU7" s="337">
        <v>5433707</v>
      </c>
      <c r="BV7" s="341"/>
      <c r="BW7" s="332"/>
      <c r="BX7" s="332"/>
      <c r="BY7" s="333"/>
      <c r="BZ7" s="363">
        <v>27344935</v>
      </c>
      <c r="CA7" s="238">
        <v>23867492</v>
      </c>
      <c r="CB7" s="238">
        <v>61660708</v>
      </c>
      <c r="CC7" s="239">
        <v>55976093</v>
      </c>
      <c r="CD7" s="364">
        <v>1103493</v>
      </c>
      <c r="CE7" s="365">
        <v>1148368</v>
      </c>
      <c r="CF7" s="365">
        <v>3244404</v>
      </c>
      <c r="CG7" s="366">
        <v>3269395</v>
      </c>
      <c r="CH7" s="367">
        <v>1495556</v>
      </c>
      <c r="CI7" s="368">
        <v>1640678</v>
      </c>
      <c r="CJ7" s="368">
        <v>3563119</v>
      </c>
      <c r="CK7" s="369">
        <v>3814746</v>
      </c>
      <c r="CL7" s="335">
        <v>5982966</v>
      </c>
      <c r="CM7" s="336">
        <v>3416359</v>
      </c>
      <c r="CN7" s="336">
        <v>13743477</v>
      </c>
      <c r="CO7" s="337">
        <v>8466979</v>
      </c>
      <c r="CP7" s="370">
        <f>SUM(B7+F7+J7+N7+R7+V7+Z7+AD7+AH7+AL7+AP7+AT7+AX7+BB7+BF7+BJ7+BN7+BR7+BV7+BZ7+CD7+CH7+CL7)</f>
        <v>96552607</v>
      </c>
      <c r="CQ7" s="370">
        <f t="shared" ref="CQ7:CS14" si="0">SUM(C7+G7+K7+O7+S7+W7+AA7+AE7+AI7+AM7+AQ7+AU7+AY7+BC7+BG7+BK7+BO7+BS7+BW7+CA7+CE7+CI7+CM7)</f>
        <v>150426901</v>
      </c>
      <c r="CR7" s="370">
        <f t="shared" si="0"/>
        <v>207134351</v>
      </c>
      <c r="CS7" s="371">
        <f t="shared" si="0"/>
        <v>245610838</v>
      </c>
      <c r="CT7" s="367">
        <v>65343190</v>
      </c>
      <c r="CU7" s="368">
        <v>68036491</v>
      </c>
      <c r="CV7" s="368">
        <v>187706707</v>
      </c>
      <c r="CW7" s="369">
        <v>182350650</v>
      </c>
      <c r="CX7" s="370">
        <f>CP7+CT7</f>
        <v>161895797</v>
      </c>
      <c r="CY7" s="370">
        <f t="shared" ref="CY7:DA14" si="1">CQ7+CU7</f>
        <v>218463392</v>
      </c>
      <c r="CZ7" s="370">
        <f t="shared" si="1"/>
        <v>394841058</v>
      </c>
      <c r="DA7" s="370">
        <f t="shared" si="1"/>
        <v>427961488</v>
      </c>
    </row>
    <row r="8" spans="1:105" s="327" customFormat="1" ht="14.25" x14ac:dyDescent="0.3">
      <c r="A8" s="314" t="s">
        <v>32</v>
      </c>
      <c r="B8" s="354">
        <v>8505011</v>
      </c>
      <c r="C8" s="355">
        <v>7738220</v>
      </c>
      <c r="D8" s="355">
        <v>22472551</v>
      </c>
      <c r="E8" s="356">
        <v>20922445</v>
      </c>
      <c r="F8" s="335">
        <v>1004168</v>
      </c>
      <c r="G8" s="336">
        <v>873182</v>
      </c>
      <c r="H8" s="336">
        <v>2675766</v>
      </c>
      <c r="I8" s="337">
        <v>2299740</v>
      </c>
      <c r="J8" s="335">
        <v>2034622</v>
      </c>
      <c r="K8" s="336">
        <v>2178355</v>
      </c>
      <c r="L8" s="336">
        <v>5942536</v>
      </c>
      <c r="M8" s="357">
        <v>6222239</v>
      </c>
      <c r="N8" s="335">
        <v>9523326</v>
      </c>
      <c r="O8" s="336">
        <v>7956381</v>
      </c>
      <c r="P8" s="336">
        <v>24625413</v>
      </c>
      <c r="Q8" s="337">
        <v>20112648</v>
      </c>
      <c r="R8" s="335">
        <v>2893551</v>
      </c>
      <c r="S8" s="336">
        <v>2485720</v>
      </c>
      <c r="T8" s="336">
        <v>7419108</v>
      </c>
      <c r="U8" s="337">
        <v>6226915</v>
      </c>
      <c r="V8" s="335">
        <v>4566159</v>
      </c>
      <c r="W8" s="336">
        <v>3255948</v>
      </c>
      <c r="X8" s="336">
        <v>13077871</v>
      </c>
      <c r="Y8" s="337">
        <v>9581077</v>
      </c>
      <c r="Z8" s="335">
        <v>1516497</v>
      </c>
      <c r="AA8" s="336">
        <v>978510</v>
      </c>
      <c r="AB8" s="336">
        <v>3975755</v>
      </c>
      <c r="AC8" s="337">
        <v>2542061</v>
      </c>
      <c r="AD8" s="335">
        <v>946843</v>
      </c>
      <c r="AE8" s="336">
        <v>606603</v>
      </c>
      <c r="AF8" s="336">
        <v>2417493</v>
      </c>
      <c r="AG8" s="337">
        <v>1516045</v>
      </c>
      <c r="AH8" s="335">
        <v>4625617</v>
      </c>
      <c r="AI8" s="336">
        <v>3870403</v>
      </c>
      <c r="AJ8" s="336">
        <v>12953105</v>
      </c>
      <c r="AK8" s="337">
        <v>11085038</v>
      </c>
      <c r="AL8" s="335">
        <v>1177410</v>
      </c>
      <c r="AM8" s="336">
        <v>916756</v>
      </c>
      <c r="AN8" s="336">
        <v>2895120</v>
      </c>
      <c r="AO8" s="337">
        <v>2278762</v>
      </c>
      <c r="AP8" s="335">
        <v>33089828</v>
      </c>
      <c r="AQ8" s="336">
        <v>28052381</v>
      </c>
      <c r="AR8" s="336">
        <v>89198737</v>
      </c>
      <c r="AS8" s="337">
        <v>75426313</v>
      </c>
      <c r="AT8" s="335">
        <v>50071217</v>
      </c>
      <c r="AU8" s="336">
        <v>138573973</v>
      </c>
      <c r="AV8" s="358">
        <v>45390255</v>
      </c>
      <c r="AW8" s="359">
        <v>117094039</v>
      </c>
      <c r="AX8" s="360">
        <v>2442135</v>
      </c>
      <c r="AY8" s="361">
        <v>2058782</v>
      </c>
      <c r="AZ8" s="361">
        <v>7071138</v>
      </c>
      <c r="BA8" s="362">
        <v>5762398</v>
      </c>
      <c r="BB8" s="335">
        <v>2415015</v>
      </c>
      <c r="BC8" s="336">
        <v>1628968</v>
      </c>
      <c r="BD8" s="336">
        <v>6158421</v>
      </c>
      <c r="BE8" s="337">
        <v>3976032</v>
      </c>
      <c r="BF8" s="335">
        <v>9460429</v>
      </c>
      <c r="BG8" s="336">
        <v>7093000</v>
      </c>
      <c r="BH8" s="336">
        <v>23681513</v>
      </c>
      <c r="BI8" s="337">
        <v>18200719</v>
      </c>
      <c r="BJ8" s="335"/>
      <c r="BK8" s="336">
        <v>59556045</v>
      </c>
      <c r="BL8" s="336"/>
      <c r="BM8" s="337">
        <v>52142909</v>
      </c>
      <c r="BN8" s="335">
        <v>7455616</v>
      </c>
      <c r="BO8" s="336">
        <v>19627061</v>
      </c>
      <c r="BP8" s="336">
        <v>5759454</v>
      </c>
      <c r="BQ8" s="337">
        <v>15731140</v>
      </c>
      <c r="BR8" s="335">
        <v>7926927</v>
      </c>
      <c r="BS8" s="336">
        <v>21364398</v>
      </c>
      <c r="BT8" s="336">
        <v>7939812</v>
      </c>
      <c r="BU8" s="337">
        <v>20776016</v>
      </c>
      <c r="BV8" s="341"/>
      <c r="BW8" s="332"/>
      <c r="BX8" s="332"/>
      <c r="BY8" s="333"/>
      <c r="BZ8" s="363">
        <v>52715977</v>
      </c>
      <c r="CA8" s="238">
        <v>39040563</v>
      </c>
      <c r="CB8" s="238">
        <v>121431759</v>
      </c>
      <c r="CC8" s="239">
        <v>88636100</v>
      </c>
      <c r="CD8" s="364">
        <v>2343634</v>
      </c>
      <c r="CE8" s="365">
        <v>1772790</v>
      </c>
      <c r="CF8" s="365">
        <v>5426818</v>
      </c>
      <c r="CG8" s="366">
        <v>4151831</v>
      </c>
      <c r="CH8" s="367">
        <v>3162513</v>
      </c>
      <c r="CI8" s="368">
        <v>2464166</v>
      </c>
      <c r="CJ8" s="368">
        <v>7826782</v>
      </c>
      <c r="CK8" s="369">
        <v>6364888</v>
      </c>
      <c r="CL8" s="335">
        <v>8133433</v>
      </c>
      <c r="CM8" s="336">
        <v>6333393</v>
      </c>
      <c r="CN8" s="336">
        <v>21268280</v>
      </c>
      <c r="CO8" s="337">
        <v>16218523</v>
      </c>
      <c r="CP8" s="370">
        <f t="shared" ref="CP8:CP14" si="2">SUM(B8+F8+J8+N8+R8+V8+Z8+AD8+AH8+AL8+AP8+AT8+AX8+BB8+BF8+BJ8+BN8+BR8+BV8+BZ8+CD8+CH8+CL8)</f>
        <v>216009928</v>
      </c>
      <c r="CQ8" s="370">
        <f t="shared" si="0"/>
        <v>358425598</v>
      </c>
      <c r="CR8" s="370">
        <f t="shared" si="0"/>
        <v>439607687</v>
      </c>
      <c r="CS8" s="371">
        <f t="shared" si="0"/>
        <v>507267878</v>
      </c>
      <c r="CT8" s="367">
        <v>466078581</v>
      </c>
      <c r="CU8" s="368">
        <v>443064668</v>
      </c>
      <c r="CV8" s="368">
        <v>1321549958</v>
      </c>
      <c r="CW8" s="369">
        <v>1242654618</v>
      </c>
      <c r="CX8" s="370">
        <f t="shared" ref="CX8:CX14" si="3">CP8+CT8</f>
        <v>682088509</v>
      </c>
      <c r="CY8" s="370">
        <f t="shared" si="1"/>
        <v>801490266</v>
      </c>
      <c r="CZ8" s="370">
        <f t="shared" si="1"/>
        <v>1761157645</v>
      </c>
      <c r="DA8" s="370">
        <f t="shared" si="1"/>
        <v>1749922496</v>
      </c>
    </row>
    <row r="9" spans="1:105" s="327" customFormat="1" ht="14.25" x14ac:dyDescent="0.3">
      <c r="A9" s="314" t="s">
        <v>33</v>
      </c>
      <c r="B9" s="354">
        <v>5271596</v>
      </c>
      <c r="C9" s="355">
        <v>3006923</v>
      </c>
      <c r="D9" s="355">
        <v>15596685</v>
      </c>
      <c r="E9" s="356">
        <v>9543000</v>
      </c>
      <c r="F9" s="335">
        <v>3458</v>
      </c>
      <c r="G9" s="336">
        <v>301</v>
      </c>
      <c r="H9" s="336">
        <v>43325</v>
      </c>
      <c r="I9" s="337">
        <v>14287</v>
      </c>
      <c r="J9" s="335">
        <v>24483</v>
      </c>
      <c r="K9" s="336">
        <v>39995</v>
      </c>
      <c r="L9" s="336">
        <v>73991</v>
      </c>
      <c r="M9" s="357">
        <v>136870</v>
      </c>
      <c r="N9" s="335">
        <v>7479100</v>
      </c>
      <c r="O9" s="336">
        <v>5783695</v>
      </c>
      <c r="P9" s="336">
        <v>20550751</v>
      </c>
      <c r="Q9" s="337">
        <v>19750139</v>
      </c>
      <c r="R9" s="335">
        <v>783467</v>
      </c>
      <c r="S9" s="336">
        <v>691185</v>
      </c>
      <c r="T9" s="336">
        <v>2341435</v>
      </c>
      <c r="U9" s="337">
        <v>1800108</v>
      </c>
      <c r="V9" s="335">
        <v>1189759</v>
      </c>
      <c r="W9" s="336">
        <v>1878621</v>
      </c>
      <c r="X9" s="336">
        <v>3858426</v>
      </c>
      <c r="Y9" s="337">
        <v>3542187</v>
      </c>
      <c r="Z9" s="335">
        <v>1509954</v>
      </c>
      <c r="AA9" s="336">
        <v>2778932</v>
      </c>
      <c r="AB9" s="336">
        <v>7622161</v>
      </c>
      <c r="AC9" s="337">
        <v>7948261</v>
      </c>
      <c r="AD9" s="335">
        <v>92079</v>
      </c>
      <c r="AE9" s="336">
        <v>137261</v>
      </c>
      <c r="AF9" s="336">
        <v>404273</v>
      </c>
      <c r="AG9" s="337">
        <v>332661</v>
      </c>
      <c r="AH9" s="335">
        <v>104203</v>
      </c>
      <c r="AI9" s="336">
        <v>67684</v>
      </c>
      <c r="AJ9" s="336">
        <v>270706</v>
      </c>
      <c r="AK9" s="337">
        <v>219105</v>
      </c>
      <c r="AL9" s="335">
        <v>187849</v>
      </c>
      <c r="AM9" s="336">
        <v>165225</v>
      </c>
      <c r="AN9" s="336">
        <v>512121</v>
      </c>
      <c r="AO9" s="337">
        <v>402672</v>
      </c>
      <c r="AP9" s="335">
        <v>24000250</v>
      </c>
      <c r="AQ9" s="336">
        <v>14600786</v>
      </c>
      <c r="AR9" s="336">
        <v>66684852</v>
      </c>
      <c r="AS9" s="337">
        <v>40624863</v>
      </c>
      <c r="AT9" s="335">
        <v>9154146</v>
      </c>
      <c r="AU9" s="336">
        <v>21668530</v>
      </c>
      <c r="AV9" s="358">
        <v>3826562</v>
      </c>
      <c r="AW9" s="359">
        <v>12955705</v>
      </c>
      <c r="AX9" s="360">
        <v>1112605</v>
      </c>
      <c r="AY9" s="361">
        <v>1180098</v>
      </c>
      <c r="AZ9" s="361">
        <v>2301599</v>
      </c>
      <c r="BA9" s="362">
        <v>2762646</v>
      </c>
      <c r="BB9" s="335">
        <v>3041066</v>
      </c>
      <c r="BC9" s="336">
        <v>2299417</v>
      </c>
      <c r="BD9" s="336">
        <v>10031512</v>
      </c>
      <c r="BE9" s="337">
        <v>5354187</v>
      </c>
      <c r="BF9" s="335">
        <v>3340889</v>
      </c>
      <c r="BG9" s="336">
        <v>2484646</v>
      </c>
      <c r="BH9" s="336">
        <v>9210049</v>
      </c>
      <c r="BI9" s="337">
        <v>6483777</v>
      </c>
      <c r="BJ9" s="335"/>
      <c r="BK9" s="336">
        <v>8566163</v>
      </c>
      <c r="BL9" s="336"/>
      <c r="BM9" s="337">
        <v>7853129</v>
      </c>
      <c r="BN9" s="335">
        <v>534301</v>
      </c>
      <c r="BO9" s="336">
        <v>1335332</v>
      </c>
      <c r="BP9" s="336">
        <v>430059</v>
      </c>
      <c r="BQ9" s="337">
        <v>1123779</v>
      </c>
      <c r="BR9" s="335">
        <v>135907</v>
      </c>
      <c r="BS9" s="336">
        <v>577646</v>
      </c>
      <c r="BT9" s="336">
        <v>242230</v>
      </c>
      <c r="BU9" s="337">
        <v>618191</v>
      </c>
      <c r="BV9" s="341"/>
      <c r="BW9" s="332"/>
      <c r="BX9" s="332"/>
      <c r="BY9" s="333"/>
      <c r="BZ9" s="363">
        <v>11628899</v>
      </c>
      <c r="CA9" s="238">
        <v>5251670</v>
      </c>
      <c r="CB9" s="238">
        <v>33041764</v>
      </c>
      <c r="CC9" s="239">
        <v>16028790</v>
      </c>
      <c r="CD9" s="364">
        <v>769407</v>
      </c>
      <c r="CE9" s="365">
        <v>815480</v>
      </c>
      <c r="CF9" s="365">
        <v>2275834</v>
      </c>
      <c r="CG9" s="366">
        <v>2159468</v>
      </c>
      <c r="CH9" s="367">
        <v>233278</v>
      </c>
      <c r="CI9" s="368">
        <v>330501</v>
      </c>
      <c r="CJ9" s="368">
        <v>716988</v>
      </c>
      <c r="CK9" s="369">
        <v>798800</v>
      </c>
      <c r="CL9" s="335">
        <v>121363</v>
      </c>
      <c r="CM9" s="336">
        <v>14023</v>
      </c>
      <c r="CN9" s="336">
        <v>213081</v>
      </c>
      <c r="CO9" s="337">
        <v>32285</v>
      </c>
      <c r="CP9" s="370">
        <f t="shared" si="2"/>
        <v>70718059</v>
      </c>
      <c r="CQ9" s="370">
        <f t="shared" si="0"/>
        <v>73674114</v>
      </c>
      <c r="CR9" s="370">
        <f t="shared" si="0"/>
        <v>180248404</v>
      </c>
      <c r="CS9" s="371">
        <f t="shared" si="0"/>
        <v>140484910</v>
      </c>
      <c r="CT9" s="367">
        <v>241638337</v>
      </c>
      <c r="CU9" s="368">
        <v>247796305</v>
      </c>
      <c r="CV9" s="368">
        <v>754658513</v>
      </c>
      <c r="CW9" s="369">
        <v>816306305</v>
      </c>
      <c r="CX9" s="370">
        <f t="shared" si="3"/>
        <v>312356396</v>
      </c>
      <c r="CY9" s="370">
        <f t="shared" si="1"/>
        <v>321470419</v>
      </c>
      <c r="CZ9" s="370">
        <f t="shared" si="1"/>
        <v>934906917</v>
      </c>
      <c r="DA9" s="370">
        <f t="shared" si="1"/>
        <v>956791215</v>
      </c>
    </row>
    <row r="10" spans="1:105" s="327" customFormat="1" ht="14.25" x14ac:dyDescent="0.3">
      <c r="A10" s="372" t="s">
        <v>34</v>
      </c>
      <c r="B10" s="373">
        <v>18598677</v>
      </c>
      <c r="C10" s="321">
        <v>13581492</v>
      </c>
      <c r="D10" s="321">
        <v>49331564</v>
      </c>
      <c r="E10" s="322">
        <v>37912011</v>
      </c>
      <c r="F10" s="370">
        <v>1267385</v>
      </c>
      <c r="G10" s="374">
        <v>1181963</v>
      </c>
      <c r="H10" s="374">
        <v>3446266</v>
      </c>
      <c r="I10" s="375">
        <v>3103362</v>
      </c>
      <c r="J10" s="370">
        <v>2513568</v>
      </c>
      <c r="K10" s="374">
        <v>2858795</v>
      </c>
      <c r="L10" s="374">
        <v>7356054</v>
      </c>
      <c r="M10" s="376">
        <v>8150577</v>
      </c>
      <c r="N10" s="370">
        <v>21232371</v>
      </c>
      <c r="O10" s="374">
        <v>17391995</v>
      </c>
      <c r="P10" s="374">
        <v>55672368</v>
      </c>
      <c r="Q10" s="375">
        <v>49083669</v>
      </c>
      <c r="R10" s="370">
        <v>5082492</v>
      </c>
      <c r="S10" s="374">
        <v>4280232</v>
      </c>
      <c r="T10" s="374">
        <v>13592146</v>
      </c>
      <c r="U10" s="375">
        <v>10644653</v>
      </c>
      <c r="V10" s="370">
        <f>SUM(V7:V9)</f>
        <v>7682521</v>
      </c>
      <c r="W10" s="370">
        <f t="shared" ref="W10:AF10" si="4">SUM(W7:W9)</f>
        <v>7156777</v>
      </c>
      <c r="X10" s="370">
        <f t="shared" si="4"/>
        <v>22583131</v>
      </c>
      <c r="Y10" s="370">
        <f t="shared" si="4"/>
        <v>18577084</v>
      </c>
      <c r="Z10" s="370">
        <f t="shared" si="4"/>
        <v>3647535</v>
      </c>
      <c r="AA10" s="370">
        <f t="shared" si="4"/>
        <v>4569396</v>
      </c>
      <c r="AB10" s="370">
        <f t="shared" si="4"/>
        <v>13937453</v>
      </c>
      <c r="AC10" s="370">
        <f t="shared" si="4"/>
        <v>12602143</v>
      </c>
      <c r="AD10" s="370">
        <f t="shared" si="4"/>
        <v>1971419</v>
      </c>
      <c r="AE10" s="370">
        <f t="shared" si="4"/>
        <v>1330955</v>
      </c>
      <c r="AF10" s="370">
        <f t="shared" si="4"/>
        <v>5121319</v>
      </c>
      <c r="AG10" s="370">
        <f>SUM(AG7:AG9)</f>
        <v>3279337</v>
      </c>
      <c r="AH10" s="370">
        <f t="shared" ref="AH10:AS10" si="5">SUM(AH7:AH9)</f>
        <v>6328377</v>
      </c>
      <c r="AI10" s="370">
        <f t="shared" si="5"/>
        <v>5688664</v>
      </c>
      <c r="AJ10" s="370">
        <f t="shared" si="5"/>
        <v>17948934</v>
      </c>
      <c r="AK10" s="370">
        <f t="shared" si="5"/>
        <v>15972870</v>
      </c>
      <c r="AL10" s="370">
        <f t="shared" si="5"/>
        <v>2891357</v>
      </c>
      <c r="AM10" s="370">
        <f t="shared" si="5"/>
        <v>2253639</v>
      </c>
      <c r="AN10" s="370">
        <f t="shared" si="5"/>
        <v>7069592</v>
      </c>
      <c r="AO10" s="370">
        <f t="shared" si="5"/>
        <v>5876080</v>
      </c>
      <c r="AP10" s="370">
        <f t="shared" si="5"/>
        <v>69613430</v>
      </c>
      <c r="AQ10" s="370">
        <f t="shared" si="5"/>
        <v>54676742</v>
      </c>
      <c r="AR10" s="370">
        <f t="shared" si="5"/>
        <v>188595594</v>
      </c>
      <c r="AS10" s="370">
        <f t="shared" si="5"/>
        <v>146079721</v>
      </c>
      <c r="AT10" s="370">
        <f>SUM(AT7:AT9)</f>
        <v>75663685</v>
      </c>
      <c r="AU10" s="370">
        <f t="shared" ref="AU10:AW10" si="6">SUM(AU7:AU9)</f>
        <v>207661480</v>
      </c>
      <c r="AV10" s="370">
        <f t="shared" si="6"/>
        <v>68556172</v>
      </c>
      <c r="AW10" s="370">
        <f t="shared" si="6"/>
        <v>183398464</v>
      </c>
      <c r="AX10" s="360">
        <v>4603845</v>
      </c>
      <c r="AY10" s="361">
        <v>4189315</v>
      </c>
      <c r="AZ10" s="361">
        <f>SUM(AZ7:AZ9)</f>
        <v>12236608</v>
      </c>
      <c r="BA10" s="361">
        <f>SUM(BA7:BA9)</f>
        <v>11329798</v>
      </c>
      <c r="BB10" s="370">
        <f>SUM(BB7:BB9)</f>
        <v>7031473</v>
      </c>
      <c r="BC10" s="370">
        <f t="shared" ref="BC10:BE10" si="7">SUM(BC7:BC9)</f>
        <v>5291858</v>
      </c>
      <c r="BD10" s="370">
        <f t="shared" si="7"/>
        <v>20280846</v>
      </c>
      <c r="BE10" s="370">
        <f t="shared" si="7"/>
        <v>13019467</v>
      </c>
      <c r="BF10" s="377">
        <f>SUM(BF7:BF9)</f>
        <v>18363028</v>
      </c>
      <c r="BG10" s="378">
        <f>SUM(BG7:BG9)</f>
        <v>15398703</v>
      </c>
      <c r="BH10" s="378">
        <f t="shared" ref="BH10:BI10" si="8">SUM(BH7:BH9)</f>
        <v>47416825</v>
      </c>
      <c r="BI10" s="379">
        <f t="shared" si="8"/>
        <v>38198907</v>
      </c>
      <c r="BJ10" s="370">
        <f>SUM(BJ7:BJ9)</f>
        <v>0</v>
      </c>
      <c r="BK10" s="374">
        <f t="shared" ref="BK10:BM10" si="9">SUM(BK7:BK9)</f>
        <v>90542899</v>
      </c>
      <c r="BL10" s="374">
        <f t="shared" si="9"/>
        <v>0</v>
      </c>
      <c r="BM10" s="375">
        <f t="shared" si="9"/>
        <v>78524180</v>
      </c>
      <c r="BN10" s="370">
        <f>SUM(BN7:BN9)</f>
        <v>11396889</v>
      </c>
      <c r="BO10" s="374">
        <f t="shared" ref="BO10:BQ10" si="10">SUM(BO7:BO9)</f>
        <v>29951821</v>
      </c>
      <c r="BP10" s="374">
        <f t="shared" si="10"/>
        <v>9336935</v>
      </c>
      <c r="BQ10" s="375">
        <f t="shared" si="10"/>
        <v>24865491</v>
      </c>
      <c r="BR10" s="370">
        <f>SUM(BR7:BR9)</f>
        <v>10357089</v>
      </c>
      <c r="BS10" s="374">
        <f t="shared" ref="BS10:BU10" si="11">SUM(BS7:BS9)</f>
        <v>28424404</v>
      </c>
      <c r="BT10" s="374">
        <f t="shared" si="11"/>
        <v>10095621</v>
      </c>
      <c r="BU10" s="375">
        <f t="shared" si="11"/>
        <v>26827914</v>
      </c>
      <c r="BV10" s="341">
        <f>SUM(BV7:BV9)</f>
        <v>0</v>
      </c>
      <c r="BW10" s="332">
        <f t="shared" ref="BW10:BY10" si="12">SUM(BW7:BW9)</f>
        <v>0</v>
      </c>
      <c r="BX10" s="332">
        <f t="shared" si="12"/>
        <v>0</v>
      </c>
      <c r="BY10" s="333">
        <f t="shared" si="12"/>
        <v>0</v>
      </c>
      <c r="BZ10" s="380">
        <v>91689811</v>
      </c>
      <c r="CA10" s="381">
        <v>68159725</v>
      </c>
      <c r="CB10" s="381">
        <f>SUM(CB7:CB9)</f>
        <v>216134231</v>
      </c>
      <c r="CC10" s="381">
        <f>SUM(CC7:CC9)</f>
        <v>160640983</v>
      </c>
      <c r="CD10" s="364">
        <f>SUM(CD7:CD9)</f>
        <v>4216534</v>
      </c>
      <c r="CE10" s="365">
        <f t="shared" ref="CE10:CG10" si="13">SUM(CE7:CE9)</f>
        <v>3736638</v>
      </c>
      <c r="CF10" s="365">
        <f t="shared" si="13"/>
        <v>10947056</v>
      </c>
      <c r="CG10" s="366">
        <f t="shared" si="13"/>
        <v>9580694</v>
      </c>
      <c r="CH10" s="367">
        <f>SUM(CH7:CH9)</f>
        <v>4891347</v>
      </c>
      <c r="CI10" s="368">
        <f t="shared" ref="CI10:CK10" si="14">SUM(CI7:CI9)</f>
        <v>4435345</v>
      </c>
      <c r="CJ10" s="368">
        <f t="shared" si="14"/>
        <v>12106889</v>
      </c>
      <c r="CK10" s="369">
        <f t="shared" si="14"/>
        <v>10978434</v>
      </c>
      <c r="CL10" s="370">
        <f>SUM(CL7:CL9)</f>
        <v>14237762</v>
      </c>
      <c r="CM10" s="374">
        <f t="shared" ref="CM10:CO10" si="15">SUM(CM7:CM9)</f>
        <v>9763775</v>
      </c>
      <c r="CN10" s="374">
        <f t="shared" si="15"/>
        <v>35224838</v>
      </c>
      <c r="CO10" s="375">
        <f t="shared" si="15"/>
        <v>24717787</v>
      </c>
      <c r="CP10" s="370">
        <f t="shared" si="2"/>
        <v>383280595</v>
      </c>
      <c r="CQ10" s="370">
        <f t="shared" si="0"/>
        <v>582526613</v>
      </c>
      <c r="CR10" s="370">
        <f t="shared" si="0"/>
        <v>826990442</v>
      </c>
      <c r="CS10" s="371">
        <f t="shared" si="0"/>
        <v>893363626</v>
      </c>
      <c r="CT10" s="370">
        <f>SUM(CT7:CT9)</f>
        <v>773060108</v>
      </c>
      <c r="CU10" s="374">
        <f t="shared" ref="CU10:CW10" si="16">SUM(CU7:CU9)</f>
        <v>758897464</v>
      </c>
      <c r="CV10" s="374">
        <f t="shared" si="16"/>
        <v>2263915178</v>
      </c>
      <c r="CW10" s="375">
        <f t="shared" si="16"/>
        <v>2241311573</v>
      </c>
      <c r="CX10" s="370">
        <f t="shared" si="3"/>
        <v>1156340703</v>
      </c>
      <c r="CY10" s="370">
        <f t="shared" si="1"/>
        <v>1341424077</v>
      </c>
      <c r="CZ10" s="370">
        <f t="shared" si="1"/>
        <v>3090905620</v>
      </c>
      <c r="DA10" s="370">
        <f t="shared" si="1"/>
        <v>3134675199</v>
      </c>
    </row>
    <row r="11" spans="1:105" s="327" customFormat="1" ht="14.25" x14ac:dyDescent="0.3">
      <c r="A11" s="314" t="s">
        <v>35</v>
      </c>
      <c r="B11" s="354"/>
      <c r="C11" s="355"/>
      <c r="D11" s="355"/>
      <c r="E11" s="356"/>
      <c r="F11" s="335"/>
      <c r="G11" s="336"/>
      <c r="H11" s="336"/>
      <c r="I11" s="337"/>
      <c r="J11" s="335"/>
      <c r="K11" s="336"/>
      <c r="L11" s="336"/>
      <c r="M11" s="357"/>
      <c r="N11" s="335"/>
      <c r="O11" s="336"/>
      <c r="P11" s="336"/>
      <c r="Q11" s="337"/>
      <c r="R11" s="335"/>
      <c r="S11" s="336"/>
      <c r="T11" s="336"/>
      <c r="U11" s="337"/>
      <c r="V11" s="335"/>
      <c r="W11" s="336"/>
      <c r="X11" s="336"/>
      <c r="Y11" s="337"/>
      <c r="Z11" s="335"/>
      <c r="AA11" s="336"/>
      <c r="AB11" s="336"/>
      <c r="AC11" s="337"/>
      <c r="AD11" s="335"/>
      <c r="AE11" s="336"/>
      <c r="AF11" s="336"/>
      <c r="AG11" s="337"/>
      <c r="AH11" s="335"/>
      <c r="AI11" s="336"/>
      <c r="AJ11" s="336"/>
      <c r="AK11" s="337"/>
      <c r="AL11" s="335"/>
      <c r="AM11" s="336"/>
      <c r="AN11" s="336"/>
      <c r="AO11" s="337"/>
      <c r="AP11" s="335"/>
      <c r="AQ11" s="336"/>
      <c r="AR11" s="336"/>
      <c r="AS11" s="337"/>
      <c r="AT11" s="335"/>
      <c r="AU11" s="336"/>
      <c r="AV11" s="336"/>
      <c r="AW11" s="337"/>
      <c r="AX11" s="335"/>
      <c r="AY11" s="336"/>
      <c r="AZ11" s="336"/>
      <c r="BA11" s="337"/>
      <c r="BB11" s="335"/>
      <c r="BC11" s="336"/>
      <c r="BD11" s="336"/>
      <c r="BE11" s="337"/>
      <c r="BF11" s="335"/>
      <c r="BG11" s="336"/>
      <c r="BH11" s="336"/>
      <c r="BI11" s="337"/>
      <c r="BJ11" s="335"/>
      <c r="BK11" s="336"/>
      <c r="BL11" s="336"/>
      <c r="BM11" s="337"/>
      <c r="BN11" s="335"/>
      <c r="BO11" s="336"/>
      <c r="BP11" s="336"/>
      <c r="BQ11" s="337"/>
      <c r="BR11" s="335"/>
      <c r="BS11" s="336"/>
      <c r="BT11" s="336"/>
      <c r="BU11" s="337"/>
      <c r="BV11" s="341"/>
      <c r="BW11" s="332"/>
      <c r="BX11" s="332"/>
      <c r="BY11" s="333"/>
      <c r="BZ11" s="342"/>
      <c r="CA11" s="325"/>
      <c r="CB11" s="325"/>
      <c r="CC11" s="326"/>
      <c r="CD11" s="364"/>
      <c r="CE11" s="365"/>
      <c r="CF11" s="365"/>
      <c r="CG11" s="366"/>
      <c r="CH11" s="367"/>
      <c r="CI11" s="368"/>
      <c r="CJ11" s="368"/>
      <c r="CK11" s="369"/>
      <c r="CL11" s="335"/>
      <c r="CM11" s="336"/>
      <c r="CN11" s="336"/>
      <c r="CO11" s="337"/>
      <c r="CP11" s="370"/>
      <c r="CQ11" s="370"/>
      <c r="CR11" s="370"/>
      <c r="CS11" s="371"/>
      <c r="CT11" s="367"/>
      <c r="CU11" s="368"/>
      <c r="CV11" s="368"/>
      <c r="CW11" s="369"/>
      <c r="CX11" s="370"/>
      <c r="CY11" s="370"/>
      <c r="CZ11" s="370"/>
      <c r="DA11" s="370"/>
    </row>
    <row r="12" spans="1:105" s="327" customFormat="1" ht="14.25" x14ac:dyDescent="0.3">
      <c r="A12" s="314" t="s">
        <v>36</v>
      </c>
      <c r="B12" s="354">
        <v>18598677</v>
      </c>
      <c r="C12" s="355">
        <v>12581492</v>
      </c>
      <c r="D12" s="355">
        <v>49331564</v>
      </c>
      <c r="E12" s="356">
        <v>37912011</v>
      </c>
      <c r="F12" s="370">
        <v>1267385</v>
      </c>
      <c r="G12" s="374">
        <v>1181963</v>
      </c>
      <c r="H12" s="374">
        <v>3446266</v>
      </c>
      <c r="I12" s="375">
        <v>3103362</v>
      </c>
      <c r="J12" s="335">
        <v>2513568</v>
      </c>
      <c r="K12" s="336">
        <v>2858795</v>
      </c>
      <c r="L12" s="336">
        <v>7356054</v>
      </c>
      <c r="M12" s="357">
        <v>8150577</v>
      </c>
      <c r="N12" s="335">
        <v>21232371</v>
      </c>
      <c r="O12" s="336">
        <v>17391995</v>
      </c>
      <c r="P12" s="336">
        <v>55672368</v>
      </c>
      <c r="Q12" s="337">
        <v>49083669</v>
      </c>
      <c r="R12" s="335">
        <v>5082492</v>
      </c>
      <c r="S12" s="336">
        <v>4280232</v>
      </c>
      <c r="T12" s="336">
        <v>13592146</v>
      </c>
      <c r="U12" s="337">
        <v>10644653</v>
      </c>
      <c r="V12" s="335">
        <f>V10</f>
        <v>7682521</v>
      </c>
      <c r="W12" s="335">
        <f t="shared" ref="W12:AW12" si="17">W10</f>
        <v>7156777</v>
      </c>
      <c r="X12" s="335">
        <f t="shared" si="17"/>
        <v>22583131</v>
      </c>
      <c r="Y12" s="335">
        <f t="shared" si="17"/>
        <v>18577084</v>
      </c>
      <c r="Z12" s="335">
        <f t="shared" si="17"/>
        <v>3647535</v>
      </c>
      <c r="AA12" s="335">
        <f t="shared" si="17"/>
        <v>4569396</v>
      </c>
      <c r="AB12" s="335">
        <f t="shared" si="17"/>
        <v>13937453</v>
      </c>
      <c r="AC12" s="335">
        <f t="shared" si="17"/>
        <v>12602143</v>
      </c>
      <c r="AD12" s="335">
        <f t="shared" si="17"/>
        <v>1971419</v>
      </c>
      <c r="AE12" s="335">
        <f t="shared" si="17"/>
        <v>1330955</v>
      </c>
      <c r="AF12" s="335">
        <f t="shared" si="17"/>
        <v>5121319</v>
      </c>
      <c r="AG12" s="335">
        <f t="shared" si="17"/>
        <v>3279337</v>
      </c>
      <c r="AH12" s="335">
        <f t="shared" si="17"/>
        <v>6328377</v>
      </c>
      <c r="AI12" s="335">
        <f t="shared" si="17"/>
        <v>5688664</v>
      </c>
      <c r="AJ12" s="335">
        <f t="shared" si="17"/>
        <v>17948934</v>
      </c>
      <c r="AK12" s="335">
        <f t="shared" si="17"/>
        <v>15972870</v>
      </c>
      <c r="AL12" s="335">
        <f t="shared" si="17"/>
        <v>2891357</v>
      </c>
      <c r="AM12" s="335">
        <f t="shared" si="17"/>
        <v>2253639</v>
      </c>
      <c r="AN12" s="335">
        <f t="shared" si="17"/>
        <v>7069592</v>
      </c>
      <c r="AO12" s="335">
        <f t="shared" si="17"/>
        <v>5876080</v>
      </c>
      <c r="AP12" s="335">
        <f t="shared" si="17"/>
        <v>69613430</v>
      </c>
      <c r="AQ12" s="335">
        <f t="shared" si="17"/>
        <v>54676742</v>
      </c>
      <c r="AR12" s="335">
        <f t="shared" si="17"/>
        <v>188595594</v>
      </c>
      <c r="AS12" s="335">
        <f t="shared" si="17"/>
        <v>146079721</v>
      </c>
      <c r="AT12" s="335">
        <f t="shared" si="17"/>
        <v>75663685</v>
      </c>
      <c r="AU12" s="335">
        <f t="shared" si="17"/>
        <v>207661480</v>
      </c>
      <c r="AV12" s="335">
        <f t="shared" si="17"/>
        <v>68556172</v>
      </c>
      <c r="AW12" s="335">
        <f t="shared" si="17"/>
        <v>183398464</v>
      </c>
      <c r="AX12" s="335">
        <v>4603845</v>
      </c>
      <c r="AY12" s="336">
        <v>4189315</v>
      </c>
      <c r="AZ12" s="336">
        <f>AZ10</f>
        <v>12236608</v>
      </c>
      <c r="BA12" s="337">
        <f>BA10</f>
        <v>11329798</v>
      </c>
      <c r="BB12" s="335">
        <f t="shared" ref="BB12:BY12" si="18">BB10</f>
        <v>7031473</v>
      </c>
      <c r="BC12" s="336">
        <f t="shared" si="18"/>
        <v>5291858</v>
      </c>
      <c r="BD12" s="336">
        <f t="shared" si="18"/>
        <v>20280846</v>
      </c>
      <c r="BE12" s="337">
        <f t="shared" si="18"/>
        <v>13019467</v>
      </c>
      <c r="BF12" s="335">
        <f t="shared" si="18"/>
        <v>18363028</v>
      </c>
      <c r="BG12" s="336">
        <f t="shared" si="18"/>
        <v>15398703</v>
      </c>
      <c r="BH12" s="336">
        <f t="shared" si="18"/>
        <v>47416825</v>
      </c>
      <c r="BI12" s="337">
        <f t="shared" si="18"/>
        <v>38198907</v>
      </c>
      <c r="BJ12" s="335">
        <f t="shared" si="18"/>
        <v>0</v>
      </c>
      <c r="BK12" s="336">
        <f t="shared" si="18"/>
        <v>90542899</v>
      </c>
      <c r="BL12" s="336">
        <f t="shared" si="18"/>
        <v>0</v>
      </c>
      <c r="BM12" s="337">
        <f t="shared" si="18"/>
        <v>78524180</v>
      </c>
      <c r="BN12" s="335">
        <f t="shared" si="18"/>
        <v>11396889</v>
      </c>
      <c r="BO12" s="336">
        <f t="shared" si="18"/>
        <v>29951821</v>
      </c>
      <c r="BP12" s="336">
        <f t="shared" si="18"/>
        <v>9336935</v>
      </c>
      <c r="BQ12" s="337">
        <f t="shared" si="18"/>
        <v>24865491</v>
      </c>
      <c r="BR12" s="335">
        <f t="shared" si="18"/>
        <v>10357089</v>
      </c>
      <c r="BS12" s="336">
        <f t="shared" si="18"/>
        <v>28424404</v>
      </c>
      <c r="BT12" s="336">
        <f t="shared" si="18"/>
        <v>10095621</v>
      </c>
      <c r="BU12" s="337">
        <f t="shared" si="18"/>
        <v>26827914</v>
      </c>
      <c r="BV12" s="341">
        <f t="shared" si="18"/>
        <v>0</v>
      </c>
      <c r="BW12" s="332">
        <f t="shared" si="18"/>
        <v>0</v>
      </c>
      <c r="BX12" s="332">
        <f t="shared" si="18"/>
        <v>0</v>
      </c>
      <c r="BY12" s="333">
        <f t="shared" si="18"/>
        <v>0</v>
      </c>
      <c r="BZ12" s="363">
        <v>91689811</v>
      </c>
      <c r="CA12" s="238">
        <v>68159725</v>
      </c>
      <c r="CB12" s="238">
        <f>CB10</f>
        <v>216134231</v>
      </c>
      <c r="CC12" s="238">
        <f>CC10</f>
        <v>160640983</v>
      </c>
      <c r="CD12" s="364">
        <f t="shared" ref="CD12:CW12" si="19">CD10</f>
        <v>4216534</v>
      </c>
      <c r="CE12" s="365">
        <f t="shared" si="19"/>
        <v>3736638</v>
      </c>
      <c r="CF12" s="365">
        <f t="shared" si="19"/>
        <v>10947056</v>
      </c>
      <c r="CG12" s="366">
        <f t="shared" si="19"/>
        <v>9580694</v>
      </c>
      <c r="CH12" s="367">
        <f t="shared" si="19"/>
        <v>4891347</v>
      </c>
      <c r="CI12" s="368">
        <f t="shared" si="19"/>
        <v>4435345</v>
      </c>
      <c r="CJ12" s="368">
        <f t="shared" si="19"/>
        <v>12106889</v>
      </c>
      <c r="CK12" s="369">
        <f t="shared" si="19"/>
        <v>10978434</v>
      </c>
      <c r="CL12" s="335">
        <f t="shared" si="19"/>
        <v>14237762</v>
      </c>
      <c r="CM12" s="336">
        <f t="shared" si="19"/>
        <v>9763775</v>
      </c>
      <c r="CN12" s="336">
        <f t="shared" si="19"/>
        <v>35224838</v>
      </c>
      <c r="CO12" s="337">
        <f t="shared" si="19"/>
        <v>24717787</v>
      </c>
      <c r="CP12" s="370">
        <f t="shared" si="2"/>
        <v>383280595</v>
      </c>
      <c r="CQ12" s="370">
        <f t="shared" si="0"/>
        <v>581526613</v>
      </c>
      <c r="CR12" s="370">
        <f t="shared" si="0"/>
        <v>826990442</v>
      </c>
      <c r="CS12" s="371">
        <f t="shared" si="0"/>
        <v>893363626</v>
      </c>
      <c r="CT12" s="367">
        <f t="shared" si="19"/>
        <v>773060108</v>
      </c>
      <c r="CU12" s="368">
        <f t="shared" si="19"/>
        <v>758897464</v>
      </c>
      <c r="CV12" s="368">
        <f t="shared" si="19"/>
        <v>2263915178</v>
      </c>
      <c r="CW12" s="369">
        <f t="shared" si="19"/>
        <v>2241311573</v>
      </c>
      <c r="CX12" s="370">
        <f t="shared" si="3"/>
        <v>1156340703</v>
      </c>
      <c r="CY12" s="370">
        <f t="shared" si="1"/>
        <v>1340424077</v>
      </c>
      <c r="CZ12" s="370">
        <f t="shared" si="1"/>
        <v>3090905620</v>
      </c>
      <c r="DA12" s="370">
        <f t="shared" si="1"/>
        <v>3134675199</v>
      </c>
    </row>
    <row r="13" spans="1:105" s="327" customFormat="1" ht="14.25" x14ac:dyDescent="0.3">
      <c r="A13" s="314" t="s">
        <v>37</v>
      </c>
      <c r="B13" s="354"/>
      <c r="C13" s="355"/>
      <c r="D13" s="355"/>
      <c r="E13" s="356"/>
      <c r="F13" s="335"/>
      <c r="G13" s="336"/>
      <c r="H13" s="336"/>
      <c r="I13" s="337"/>
      <c r="J13" s="335"/>
      <c r="K13" s="336"/>
      <c r="L13" s="336"/>
      <c r="M13" s="357"/>
      <c r="N13" s="335"/>
      <c r="O13" s="336"/>
      <c r="P13" s="336"/>
      <c r="Q13" s="337"/>
      <c r="R13" s="335"/>
      <c r="S13" s="336"/>
      <c r="T13" s="336"/>
      <c r="U13" s="337"/>
      <c r="V13" s="335"/>
      <c r="W13" s="336"/>
      <c r="X13" s="336"/>
      <c r="Y13" s="337"/>
      <c r="Z13" s="335"/>
      <c r="AA13" s="336"/>
      <c r="AB13" s="336"/>
      <c r="AC13" s="337"/>
      <c r="AD13" s="335"/>
      <c r="AE13" s="336"/>
      <c r="AF13" s="336"/>
      <c r="AG13" s="337"/>
      <c r="AH13" s="335"/>
      <c r="AI13" s="336"/>
      <c r="AJ13" s="336"/>
      <c r="AK13" s="337"/>
      <c r="AL13" s="335"/>
      <c r="AM13" s="336"/>
      <c r="AN13" s="336"/>
      <c r="AO13" s="337"/>
      <c r="AP13" s="335"/>
      <c r="AQ13" s="336"/>
      <c r="AR13" s="336"/>
      <c r="AS13" s="337"/>
      <c r="AT13" s="335"/>
      <c r="AU13" s="336"/>
      <c r="AV13" s="336"/>
      <c r="AW13" s="337"/>
      <c r="AX13" s="335"/>
      <c r="AY13" s="358"/>
      <c r="AZ13" s="358"/>
      <c r="BA13" s="359"/>
      <c r="BB13" s="335"/>
      <c r="BC13" s="336"/>
      <c r="BD13" s="336"/>
      <c r="BE13" s="337"/>
      <c r="BF13" s="335"/>
      <c r="BG13" s="336"/>
      <c r="BH13" s="336"/>
      <c r="BI13" s="337"/>
      <c r="BJ13" s="335"/>
      <c r="BK13" s="336"/>
      <c r="BL13" s="336"/>
      <c r="BM13" s="337"/>
      <c r="BN13" s="335"/>
      <c r="BO13" s="336"/>
      <c r="BP13" s="336"/>
      <c r="BQ13" s="337"/>
      <c r="BR13" s="335"/>
      <c r="BS13" s="336"/>
      <c r="BT13" s="336"/>
      <c r="BU13" s="337"/>
      <c r="BV13" s="341"/>
      <c r="BW13" s="332"/>
      <c r="BX13" s="332"/>
      <c r="BY13" s="333"/>
      <c r="BZ13" s="342"/>
      <c r="CA13" s="325"/>
      <c r="CB13" s="325"/>
      <c r="CC13" s="326"/>
      <c r="CD13" s="364"/>
      <c r="CE13" s="365"/>
      <c r="CF13" s="365"/>
      <c r="CG13" s="366"/>
      <c r="CH13" s="367"/>
      <c r="CI13" s="368"/>
      <c r="CJ13" s="368"/>
      <c r="CK13" s="369"/>
      <c r="CL13" s="335"/>
      <c r="CM13" s="336"/>
      <c r="CN13" s="336"/>
      <c r="CO13" s="337"/>
      <c r="CP13" s="370"/>
      <c r="CQ13" s="370"/>
      <c r="CR13" s="370"/>
      <c r="CS13" s="371"/>
      <c r="CT13" s="367"/>
      <c r="CU13" s="368"/>
      <c r="CV13" s="368"/>
      <c r="CW13" s="369"/>
      <c r="CX13" s="370"/>
      <c r="CY13" s="370"/>
      <c r="CZ13" s="370"/>
      <c r="DA13" s="370"/>
    </row>
    <row r="14" spans="1:105" s="250" customFormat="1" thickBot="1" x14ac:dyDescent="0.35">
      <c r="A14" s="382" t="s">
        <v>34</v>
      </c>
      <c r="B14" s="383">
        <v>18598677</v>
      </c>
      <c r="C14" s="384">
        <v>13581492</v>
      </c>
      <c r="D14" s="384">
        <v>49331564</v>
      </c>
      <c r="E14" s="385">
        <v>37912011</v>
      </c>
      <c r="F14" s="386">
        <v>1267385</v>
      </c>
      <c r="G14" s="387">
        <v>1181963</v>
      </c>
      <c r="H14" s="387">
        <v>3446266</v>
      </c>
      <c r="I14" s="388">
        <v>3103362</v>
      </c>
      <c r="J14" s="386">
        <v>2513568</v>
      </c>
      <c r="K14" s="387">
        <v>2858795</v>
      </c>
      <c r="L14" s="387">
        <v>7356054</v>
      </c>
      <c r="M14" s="389">
        <v>8150577</v>
      </c>
      <c r="N14" s="386">
        <v>21232371</v>
      </c>
      <c r="O14" s="387">
        <v>17391995</v>
      </c>
      <c r="P14" s="387">
        <v>55672368</v>
      </c>
      <c r="Q14" s="388">
        <v>49083669</v>
      </c>
      <c r="R14" s="386">
        <v>5082492</v>
      </c>
      <c r="S14" s="387">
        <v>4280232</v>
      </c>
      <c r="T14" s="387">
        <v>13592146</v>
      </c>
      <c r="U14" s="388">
        <v>10644653</v>
      </c>
      <c r="V14" s="386">
        <f>V10</f>
        <v>7682521</v>
      </c>
      <c r="W14" s="386">
        <f t="shared" ref="W14:AW14" si="20">W10</f>
        <v>7156777</v>
      </c>
      <c r="X14" s="386">
        <f t="shared" si="20"/>
        <v>22583131</v>
      </c>
      <c r="Y14" s="386">
        <f t="shared" si="20"/>
        <v>18577084</v>
      </c>
      <c r="Z14" s="386">
        <f t="shared" si="20"/>
        <v>3647535</v>
      </c>
      <c r="AA14" s="386">
        <f t="shared" si="20"/>
        <v>4569396</v>
      </c>
      <c r="AB14" s="386">
        <f t="shared" si="20"/>
        <v>13937453</v>
      </c>
      <c r="AC14" s="386">
        <f t="shared" si="20"/>
        <v>12602143</v>
      </c>
      <c r="AD14" s="386">
        <f t="shared" si="20"/>
        <v>1971419</v>
      </c>
      <c r="AE14" s="386">
        <f t="shared" si="20"/>
        <v>1330955</v>
      </c>
      <c r="AF14" s="386">
        <f t="shared" si="20"/>
        <v>5121319</v>
      </c>
      <c r="AG14" s="386">
        <f t="shared" si="20"/>
        <v>3279337</v>
      </c>
      <c r="AH14" s="386">
        <f t="shared" si="20"/>
        <v>6328377</v>
      </c>
      <c r="AI14" s="386">
        <f t="shared" si="20"/>
        <v>5688664</v>
      </c>
      <c r="AJ14" s="386">
        <f t="shared" si="20"/>
        <v>17948934</v>
      </c>
      <c r="AK14" s="386">
        <f t="shared" si="20"/>
        <v>15972870</v>
      </c>
      <c r="AL14" s="386">
        <f t="shared" si="20"/>
        <v>2891357</v>
      </c>
      <c r="AM14" s="386">
        <f t="shared" si="20"/>
        <v>2253639</v>
      </c>
      <c r="AN14" s="386">
        <f t="shared" si="20"/>
        <v>7069592</v>
      </c>
      <c r="AO14" s="386">
        <f t="shared" si="20"/>
        <v>5876080</v>
      </c>
      <c r="AP14" s="386">
        <f t="shared" si="20"/>
        <v>69613430</v>
      </c>
      <c r="AQ14" s="386">
        <f t="shared" si="20"/>
        <v>54676742</v>
      </c>
      <c r="AR14" s="386">
        <f t="shared" si="20"/>
        <v>188595594</v>
      </c>
      <c r="AS14" s="386">
        <f t="shared" si="20"/>
        <v>146079721</v>
      </c>
      <c r="AT14" s="386">
        <f t="shared" si="20"/>
        <v>75663685</v>
      </c>
      <c r="AU14" s="386">
        <f t="shared" si="20"/>
        <v>207661480</v>
      </c>
      <c r="AV14" s="386">
        <f t="shared" si="20"/>
        <v>68556172</v>
      </c>
      <c r="AW14" s="386">
        <f t="shared" si="20"/>
        <v>183398464</v>
      </c>
      <c r="AX14" s="386">
        <v>4603845</v>
      </c>
      <c r="AY14" s="387">
        <v>4189315</v>
      </c>
      <c r="AZ14" s="387">
        <f>AZ10</f>
        <v>12236608</v>
      </c>
      <c r="BA14" s="388">
        <f>BA10</f>
        <v>11329798</v>
      </c>
      <c r="BB14" s="386">
        <f t="shared" ref="BB14:BY14" si="21">BB10</f>
        <v>7031473</v>
      </c>
      <c r="BC14" s="387">
        <f t="shared" si="21"/>
        <v>5291858</v>
      </c>
      <c r="BD14" s="387">
        <f t="shared" si="21"/>
        <v>20280846</v>
      </c>
      <c r="BE14" s="388">
        <f t="shared" si="21"/>
        <v>13019467</v>
      </c>
      <c r="BF14" s="386">
        <f t="shared" si="21"/>
        <v>18363028</v>
      </c>
      <c r="BG14" s="387">
        <f t="shared" si="21"/>
        <v>15398703</v>
      </c>
      <c r="BH14" s="387">
        <f t="shared" si="21"/>
        <v>47416825</v>
      </c>
      <c r="BI14" s="388">
        <f t="shared" si="21"/>
        <v>38198907</v>
      </c>
      <c r="BJ14" s="386">
        <f t="shared" si="21"/>
        <v>0</v>
      </c>
      <c r="BK14" s="387">
        <f t="shared" si="21"/>
        <v>90542899</v>
      </c>
      <c r="BL14" s="387">
        <f t="shared" si="21"/>
        <v>0</v>
      </c>
      <c r="BM14" s="388">
        <f t="shared" si="21"/>
        <v>78524180</v>
      </c>
      <c r="BN14" s="386">
        <f t="shared" si="21"/>
        <v>11396889</v>
      </c>
      <c r="BO14" s="387">
        <f t="shared" si="21"/>
        <v>29951821</v>
      </c>
      <c r="BP14" s="387">
        <f t="shared" si="21"/>
        <v>9336935</v>
      </c>
      <c r="BQ14" s="388">
        <f t="shared" si="21"/>
        <v>24865491</v>
      </c>
      <c r="BR14" s="386">
        <f t="shared" si="21"/>
        <v>10357089</v>
      </c>
      <c r="BS14" s="387">
        <f t="shared" si="21"/>
        <v>28424404</v>
      </c>
      <c r="BT14" s="387">
        <f t="shared" si="21"/>
        <v>10095621</v>
      </c>
      <c r="BU14" s="388">
        <f t="shared" si="21"/>
        <v>26827914</v>
      </c>
      <c r="BV14" s="390">
        <f t="shared" si="21"/>
        <v>0</v>
      </c>
      <c r="BW14" s="391">
        <f t="shared" si="21"/>
        <v>0</v>
      </c>
      <c r="BX14" s="391">
        <f t="shared" si="21"/>
        <v>0</v>
      </c>
      <c r="BY14" s="392">
        <f t="shared" si="21"/>
        <v>0</v>
      </c>
      <c r="BZ14" s="393">
        <v>91689811</v>
      </c>
      <c r="CA14" s="253">
        <v>68159725</v>
      </c>
      <c r="CB14" s="253">
        <f>CB10</f>
        <v>216134231</v>
      </c>
      <c r="CC14" s="253">
        <f>CC10</f>
        <v>160640983</v>
      </c>
      <c r="CD14" s="394">
        <f t="shared" ref="CD14:CW14" si="22">CD10</f>
        <v>4216534</v>
      </c>
      <c r="CE14" s="395">
        <f t="shared" si="22"/>
        <v>3736638</v>
      </c>
      <c r="CF14" s="395">
        <f t="shared" si="22"/>
        <v>10947056</v>
      </c>
      <c r="CG14" s="396">
        <f t="shared" si="22"/>
        <v>9580694</v>
      </c>
      <c r="CH14" s="397">
        <f t="shared" si="22"/>
        <v>4891347</v>
      </c>
      <c r="CI14" s="398">
        <f t="shared" si="22"/>
        <v>4435345</v>
      </c>
      <c r="CJ14" s="398">
        <f t="shared" si="22"/>
        <v>12106889</v>
      </c>
      <c r="CK14" s="399">
        <f t="shared" si="22"/>
        <v>10978434</v>
      </c>
      <c r="CL14" s="386">
        <f t="shared" si="22"/>
        <v>14237762</v>
      </c>
      <c r="CM14" s="387">
        <f t="shared" si="22"/>
        <v>9763775</v>
      </c>
      <c r="CN14" s="387">
        <f t="shared" si="22"/>
        <v>35224838</v>
      </c>
      <c r="CO14" s="388">
        <f t="shared" si="22"/>
        <v>24717787</v>
      </c>
      <c r="CP14" s="386">
        <f t="shared" si="2"/>
        <v>383280595</v>
      </c>
      <c r="CQ14" s="386">
        <f t="shared" si="0"/>
        <v>582526613</v>
      </c>
      <c r="CR14" s="386">
        <f t="shared" si="0"/>
        <v>826990442</v>
      </c>
      <c r="CS14" s="400">
        <f t="shared" si="0"/>
        <v>893363626</v>
      </c>
      <c r="CT14" s="397">
        <f t="shared" si="22"/>
        <v>773060108</v>
      </c>
      <c r="CU14" s="398">
        <f t="shared" si="22"/>
        <v>758897464</v>
      </c>
      <c r="CV14" s="398">
        <f t="shared" si="22"/>
        <v>2263915178</v>
      </c>
      <c r="CW14" s="399">
        <f t="shared" si="22"/>
        <v>2241311573</v>
      </c>
      <c r="CX14" s="401">
        <f t="shared" si="3"/>
        <v>1156340703</v>
      </c>
      <c r="CY14" s="401">
        <f t="shared" si="1"/>
        <v>1341424077</v>
      </c>
      <c r="CZ14" s="401">
        <f t="shared" si="1"/>
        <v>3090905620</v>
      </c>
      <c r="DA14" s="401">
        <f t="shared" si="1"/>
        <v>3134675199</v>
      </c>
    </row>
  </sheetData>
  <mergeCells count="29"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BN3:BQ3"/>
    <mergeCell ref="BR3:BU3"/>
    <mergeCell ref="CX3:DA3"/>
    <mergeCell ref="BZ3:CC3"/>
    <mergeCell ref="CD3:CG3"/>
    <mergeCell ref="CH3:CK3"/>
    <mergeCell ref="CL3:CO3"/>
    <mergeCell ref="CP3:CS3"/>
    <mergeCell ref="CT3:CW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25"/>
  <sheetViews>
    <sheetView workbookViewId="0">
      <pane xSplit="1" topLeftCell="B1" activePane="topRight" state="frozen"/>
      <selection pane="topRight" activeCell="CL4" sqref="CL4:CO4"/>
    </sheetView>
  </sheetViews>
  <sheetFormatPr defaultRowHeight="12.75" x14ac:dyDescent="0.25"/>
  <cols>
    <col min="1" max="1" width="37.42578125" style="521" bestFit="1" customWidth="1"/>
    <col min="2" max="3" width="11.42578125" style="521" bestFit="1" customWidth="1"/>
    <col min="4" max="4" width="12.42578125" style="521" bestFit="1" customWidth="1"/>
    <col min="5" max="5" width="13.28515625" style="521" bestFit="1" customWidth="1"/>
    <col min="6" max="7" width="11.42578125" style="521" bestFit="1" customWidth="1"/>
    <col min="8" max="8" width="12.42578125" style="521" bestFit="1" customWidth="1"/>
    <col min="9" max="9" width="13.28515625" style="521" bestFit="1" customWidth="1"/>
    <col min="10" max="11" width="11.42578125" style="521" bestFit="1" customWidth="1"/>
    <col min="12" max="12" width="12.42578125" style="521" bestFit="1" customWidth="1"/>
    <col min="13" max="13" width="13.28515625" style="521" bestFit="1" customWidth="1"/>
    <col min="14" max="15" width="11.42578125" style="521" bestFit="1" customWidth="1"/>
    <col min="16" max="16" width="12.42578125" style="521" bestFit="1" customWidth="1"/>
    <col min="17" max="17" width="13.28515625" style="521" bestFit="1" customWidth="1"/>
    <col min="18" max="19" width="11.42578125" style="521" bestFit="1" customWidth="1"/>
    <col min="20" max="20" width="12.42578125" style="521" bestFit="1" customWidth="1"/>
    <col min="21" max="21" width="13.28515625" style="521" bestFit="1" customWidth="1"/>
    <col min="22" max="23" width="11.42578125" style="521" bestFit="1" customWidth="1"/>
    <col min="24" max="24" width="12.42578125" style="521" bestFit="1" customWidth="1"/>
    <col min="25" max="25" width="13.28515625" style="521" bestFit="1" customWidth="1"/>
    <col min="26" max="27" width="11.42578125" style="521" bestFit="1" customWidth="1"/>
    <col min="28" max="28" width="12.42578125" style="521" bestFit="1" customWidth="1"/>
    <col min="29" max="29" width="13.28515625" style="521" bestFit="1" customWidth="1"/>
    <col min="30" max="31" width="11.42578125" style="521" bestFit="1" customWidth="1"/>
    <col min="32" max="32" width="12.42578125" style="521" bestFit="1" customWidth="1"/>
    <col min="33" max="33" width="13.28515625" style="521" bestFit="1" customWidth="1"/>
    <col min="34" max="35" width="11.42578125" style="521" bestFit="1" customWidth="1"/>
    <col min="36" max="36" width="12.42578125" style="521" bestFit="1" customWidth="1"/>
    <col min="37" max="37" width="13.28515625" style="521" bestFit="1" customWidth="1"/>
    <col min="38" max="39" width="11.42578125" style="521" bestFit="1" customWidth="1"/>
    <col min="40" max="40" width="12.42578125" style="521" bestFit="1" customWidth="1"/>
    <col min="41" max="41" width="13.28515625" style="521" bestFit="1" customWidth="1"/>
    <col min="42" max="43" width="11.42578125" style="521" bestFit="1" customWidth="1"/>
    <col min="44" max="44" width="12.42578125" style="521" bestFit="1" customWidth="1"/>
    <col min="45" max="45" width="13.28515625" style="521" bestFit="1" customWidth="1"/>
    <col min="46" max="47" width="11.42578125" style="521" bestFit="1" customWidth="1"/>
    <col min="48" max="48" width="12.42578125" style="521" bestFit="1" customWidth="1"/>
    <col min="49" max="49" width="13.28515625" style="521" bestFit="1" customWidth="1"/>
    <col min="50" max="51" width="11.42578125" style="521" bestFit="1" customWidth="1"/>
    <col min="52" max="52" width="12.42578125" style="521" bestFit="1" customWidth="1"/>
    <col min="53" max="53" width="13.28515625" style="521" bestFit="1" customWidth="1"/>
    <col min="54" max="55" width="11.42578125" style="521" bestFit="1" customWidth="1"/>
    <col min="56" max="56" width="12.42578125" style="521" bestFit="1" customWidth="1"/>
    <col min="57" max="57" width="13.28515625" style="521" bestFit="1" customWidth="1"/>
    <col min="58" max="59" width="11.42578125" style="521" bestFit="1" customWidth="1"/>
    <col min="60" max="60" width="12.42578125" style="521" bestFit="1" customWidth="1"/>
    <col min="61" max="61" width="13.28515625" style="521" bestFit="1" customWidth="1"/>
    <col min="62" max="63" width="11.42578125" style="521" bestFit="1" customWidth="1"/>
    <col min="64" max="64" width="12.42578125" style="521" bestFit="1" customWidth="1"/>
    <col min="65" max="65" width="13.28515625" style="521" bestFit="1" customWidth="1"/>
    <col min="66" max="67" width="11.42578125" style="521" bestFit="1" customWidth="1"/>
    <col min="68" max="68" width="12.42578125" style="521" bestFit="1" customWidth="1"/>
    <col min="69" max="69" width="13.28515625" style="521" bestFit="1" customWidth="1"/>
    <col min="70" max="71" width="11.42578125" style="521" bestFit="1" customWidth="1"/>
    <col min="72" max="72" width="12.42578125" style="521" bestFit="1" customWidth="1"/>
    <col min="73" max="73" width="13.28515625" style="521" bestFit="1" customWidth="1"/>
    <col min="74" max="75" width="11.42578125" style="521" bestFit="1" customWidth="1"/>
    <col min="76" max="76" width="12.42578125" style="521" bestFit="1" customWidth="1"/>
    <col min="77" max="77" width="13.28515625" style="521" bestFit="1" customWidth="1"/>
    <col min="78" max="79" width="11.42578125" style="521" customWidth="1"/>
    <col min="80" max="80" width="12.42578125" style="521" bestFit="1" customWidth="1"/>
    <col min="81" max="81" width="13.28515625" style="521" bestFit="1" customWidth="1"/>
    <col min="82" max="83" width="11.42578125" style="521" bestFit="1" customWidth="1"/>
    <col min="84" max="84" width="12.42578125" style="521" bestFit="1" customWidth="1"/>
    <col min="85" max="85" width="13.28515625" style="521" bestFit="1" customWidth="1"/>
    <col min="86" max="87" width="11.42578125" style="521" bestFit="1" customWidth="1"/>
    <col min="88" max="88" width="12.42578125" style="521" bestFit="1" customWidth="1"/>
    <col min="89" max="89" width="13.28515625" style="521" bestFit="1" customWidth="1"/>
    <col min="90" max="91" width="11.42578125" style="521" bestFit="1" customWidth="1"/>
    <col min="92" max="92" width="12.42578125" style="521" bestFit="1" customWidth="1"/>
    <col min="93" max="93" width="13.28515625" style="521" bestFit="1" customWidth="1"/>
    <col min="94" max="95" width="11.42578125" style="521" bestFit="1" customWidth="1"/>
    <col min="96" max="96" width="12.42578125" style="521" bestFit="1" customWidth="1"/>
    <col min="97" max="97" width="13.28515625" style="521" bestFit="1" customWidth="1"/>
    <col min="98" max="99" width="11.42578125" style="521" bestFit="1" customWidth="1"/>
    <col min="100" max="100" width="12.42578125" style="521" bestFit="1" customWidth="1"/>
    <col min="101" max="101" width="13.28515625" style="521" bestFit="1" customWidth="1"/>
    <col min="102" max="103" width="11.42578125" style="521" bestFit="1" customWidth="1"/>
    <col min="104" max="104" width="12.42578125" style="521" bestFit="1" customWidth="1"/>
    <col min="105" max="105" width="13.28515625" style="521" bestFit="1" customWidth="1"/>
    <col min="106" max="16384" width="9.140625" style="521"/>
  </cols>
  <sheetData>
    <row r="1" spans="1:105" s="842" customFormat="1" ht="14.25" x14ac:dyDescent="0.3">
      <c r="A1" s="1343" t="s">
        <v>253</v>
      </c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3"/>
      <c r="T1" s="1343"/>
      <c r="U1" s="1343"/>
      <c r="V1" s="1343"/>
      <c r="W1" s="1343"/>
      <c r="X1" s="1343"/>
      <c r="Y1" s="1343"/>
      <c r="Z1" s="1343"/>
      <c r="AA1" s="1343"/>
      <c r="AB1" s="1343"/>
      <c r="AC1" s="1343"/>
      <c r="AD1" s="1343"/>
      <c r="AE1" s="1343"/>
      <c r="AF1" s="1343"/>
      <c r="AG1" s="1343"/>
      <c r="AH1" s="1343"/>
      <c r="AI1" s="1343"/>
      <c r="AJ1" s="1343"/>
      <c r="AK1" s="1343"/>
      <c r="AL1" s="1343"/>
      <c r="AM1" s="1343"/>
      <c r="AN1" s="1343"/>
      <c r="AO1" s="1343"/>
      <c r="AP1" s="1343"/>
      <c r="AQ1" s="1343"/>
      <c r="AR1" s="1343"/>
      <c r="AS1" s="1343"/>
      <c r="AT1" s="1343"/>
      <c r="AU1" s="1343"/>
      <c r="AV1" s="1343"/>
      <c r="AW1" s="1343"/>
      <c r="AX1" s="1343"/>
      <c r="AY1" s="1343"/>
      <c r="AZ1" s="1343"/>
      <c r="BA1" s="1343"/>
      <c r="BB1" s="1343"/>
      <c r="BC1" s="1343"/>
      <c r="BD1" s="1343"/>
      <c r="BE1" s="1343"/>
      <c r="BF1" s="1343"/>
      <c r="BG1" s="1343"/>
      <c r="BH1" s="1343"/>
      <c r="BI1" s="1343"/>
      <c r="BJ1" s="1343"/>
      <c r="BK1" s="1343"/>
      <c r="BL1" s="1343"/>
      <c r="BM1" s="1343"/>
      <c r="BN1" s="1343"/>
      <c r="BO1" s="1343"/>
      <c r="BP1" s="1343"/>
      <c r="BQ1" s="1343"/>
      <c r="BR1" s="1343"/>
      <c r="BS1" s="1343"/>
      <c r="BT1" s="1343"/>
      <c r="BU1" s="1343"/>
      <c r="BV1" s="1343"/>
      <c r="BW1" s="1343"/>
      <c r="BX1" s="1343"/>
      <c r="BY1" s="1343"/>
      <c r="BZ1" s="1343"/>
      <c r="CA1" s="1343"/>
      <c r="CB1" s="1343"/>
      <c r="CC1" s="1343"/>
      <c r="CD1" s="1343"/>
      <c r="CE1" s="1343"/>
      <c r="CF1" s="1343"/>
      <c r="CG1" s="1343"/>
      <c r="CH1" s="1343"/>
      <c r="CI1" s="1343"/>
      <c r="CJ1" s="1343"/>
      <c r="CK1" s="1343"/>
      <c r="CL1" s="1343"/>
      <c r="CM1" s="1343"/>
      <c r="CN1" s="1343"/>
      <c r="CO1" s="1343"/>
      <c r="CP1" s="1343"/>
      <c r="CQ1" s="1343"/>
      <c r="CR1" s="1343"/>
      <c r="CS1" s="1343"/>
      <c r="CT1" s="1343"/>
      <c r="CU1" s="1343"/>
      <c r="CV1" s="1343"/>
      <c r="CW1" s="1343"/>
      <c r="CX1" s="1343"/>
      <c r="CY1" s="1343"/>
    </row>
    <row r="2" spans="1:105" ht="14.25" thickBot="1" x14ac:dyDescent="0.3">
      <c r="A2" s="1344" t="s">
        <v>67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4"/>
      <c r="Z2" s="1344"/>
      <c r="AA2" s="1344"/>
      <c r="AB2" s="1344"/>
      <c r="AC2" s="1344"/>
      <c r="AD2" s="1344"/>
      <c r="AE2" s="1344"/>
      <c r="AF2" s="1344"/>
      <c r="AG2" s="1344"/>
      <c r="AH2" s="1344"/>
      <c r="AI2" s="1344"/>
      <c r="AJ2" s="1344"/>
      <c r="AK2" s="1344"/>
      <c r="AL2" s="1344"/>
      <c r="AM2" s="1344"/>
      <c r="AN2" s="1344"/>
      <c r="AO2" s="1344"/>
      <c r="AP2" s="1344"/>
      <c r="AQ2" s="1344"/>
      <c r="AR2" s="1344"/>
      <c r="AS2" s="1344"/>
      <c r="AT2" s="1344"/>
      <c r="AU2" s="1344"/>
      <c r="AV2" s="1344"/>
      <c r="AW2" s="1344"/>
      <c r="AX2" s="1344"/>
      <c r="AY2" s="1344"/>
      <c r="AZ2" s="1344"/>
      <c r="BA2" s="1344"/>
      <c r="BB2" s="1344"/>
      <c r="BC2" s="1344"/>
      <c r="BD2" s="1344"/>
      <c r="BE2" s="1344"/>
      <c r="BF2" s="1344"/>
      <c r="BG2" s="1344"/>
      <c r="BH2" s="1344"/>
      <c r="BI2" s="1344"/>
      <c r="BJ2" s="1344"/>
      <c r="BK2" s="1344"/>
      <c r="BL2" s="1344"/>
      <c r="BM2" s="1344"/>
      <c r="BN2" s="1344"/>
      <c r="BO2" s="1344"/>
      <c r="BP2" s="1344"/>
      <c r="BQ2" s="1344"/>
      <c r="BR2" s="1344"/>
      <c r="BS2" s="1344"/>
      <c r="BT2" s="1344"/>
      <c r="BU2" s="1344"/>
      <c r="BV2" s="1344"/>
      <c r="BW2" s="1344"/>
      <c r="BX2" s="1344"/>
      <c r="BY2" s="1344"/>
      <c r="BZ2" s="1344"/>
      <c r="CA2" s="1344"/>
      <c r="CB2" s="1344"/>
      <c r="CC2" s="1344"/>
      <c r="CD2" s="1344"/>
      <c r="CE2" s="1344"/>
      <c r="CF2" s="1344"/>
      <c r="CG2" s="1344"/>
      <c r="CH2" s="1344"/>
      <c r="CI2" s="1344"/>
      <c r="CJ2" s="1344"/>
      <c r="CK2" s="1344"/>
      <c r="CL2" s="1344"/>
      <c r="CM2" s="1344"/>
      <c r="CN2" s="1344"/>
      <c r="CO2" s="1344"/>
      <c r="CP2" s="1344"/>
      <c r="CQ2" s="1344"/>
      <c r="CR2" s="1344"/>
      <c r="CS2" s="1344"/>
      <c r="CT2" s="1344"/>
      <c r="CU2" s="1344"/>
      <c r="CV2" s="1344"/>
      <c r="CW2" s="1344"/>
      <c r="CX2" s="1344"/>
      <c r="CY2" s="1344"/>
    </row>
    <row r="3" spans="1:105" ht="14.25" x14ac:dyDescent="0.25">
      <c r="A3" s="1385" t="s">
        <v>1</v>
      </c>
      <c r="B3" s="1387" t="s">
        <v>258</v>
      </c>
      <c r="C3" s="1388"/>
      <c r="D3" s="1388"/>
      <c r="E3" s="1389"/>
      <c r="F3" s="1390" t="s">
        <v>259</v>
      </c>
      <c r="G3" s="1390"/>
      <c r="H3" s="1390"/>
      <c r="I3" s="1391"/>
      <c r="J3" s="1390" t="s">
        <v>260</v>
      </c>
      <c r="K3" s="1390"/>
      <c r="L3" s="1390"/>
      <c r="M3" s="1391"/>
      <c r="N3" s="1390" t="s">
        <v>261</v>
      </c>
      <c r="O3" s="1390"/>
      <c r="P3" s="1390"/>
      <c r="Q3" s="1391"/>
      <c r="R3" s="1390" t="s">
        <v>262</v>
      </c>
      <c r="S3" s="1390"/>
      <c r="T3" s="1390"/>
      <c r="U3" s="1391"/>
      <c r="V3" s="1390" t="s">
        <v>263</v>
      </c>
      <c r="W3" s="1390"/>
      <c r="X3" s="1390"/>
      <c r="Y3" s="1391"/>
      <c r="Z3" s="1390" t="s">
        <v>264</v>
      </c>
      <c r="AA3" s="1390"/>
      <c r="AB3" s="1390"/>
      <c r="AC3" s="1391"/>
      <c r="AD3" s="1390" t="s">
        <v>265</v>
      </c>
      <c r="AE3" s="1390"/>
      <c r="AF3" s="1390"/>
      <c r="AG3" s="1391"/>
      <c r="AH3" s="1390" t="s">
        <v>266</v>
      </c>
      <c r="AI3" s="1390"/>
      <c r="AJ3" s="1390"/>
      <c r="AK3" s="1391"/>
      <c r="AL3" s="1390" t="s">
        <v>267</v>
      </c>
      <c r="AM3" s="1390"/>
      <c r="AN3" s="1390"/>
      <c r="AO3" s="1391"/>
      <c r="AP3" s="1390" t="s">
        <v>268</v>
      </c>
      <c r="AQ3" s="1390"/>
      <c r="AR3" s="1390"/>
      <c r="AS3" s="1391"/>
      <c r="AT3" s="1390" t="s">
        <v>269</v>
      </c>
      <c r="AU3" s="1390"/>
      <c r="AV3" s="1390"/>
      <c r="AW3" s="1391"/>
      <c r="AX3" s="1390" t="s">
        <v>270</v>
      </c>
      <c r="AY3" s="1390"/>
      <c r="AZ3" s="1390"/>
      <c r="BA3" s="1391"/>
      <c r="BB3" s="1390" t="s">
        <v>271</v>
      </c>
      <c r="BC3" s="1390"/>
      <c r="BD3" s="1390"/>
      <c r="BE3" s="1391"/>
      <c r="BF3" s="1392" t="s">
        <v>272</v>
      </c>
      <c r="BG3" s="1392"/>
      <c r="BH3" s="1392"/>
      <c r="BI3" s="1393"/>
      <c r="BJ3" s="1390" t="s">
        <v>273</v>
      </c>
      <c r="BK3" s="1390"/>
      <c r="BL3" s="1390"/>
      <c r="BM3" s="1391"/>
      <c r="BN3" s="1390" t="s">
        <v>274</v>
      </c>
      <c r="BO3" s="1390"/>
      <c r="BP3" s="1390"/>
      <c r="BQ3" s="1391"/>
      <c r="BR3" s="1390" t="s">
        <v>275</v>
      </c>
      <c r="BS3" s="1390"/>
      <c r="BT3" s="1390"/>
      <c r="BU3" s="1391"/>
      <c r="BV3" s="1392" t="s">
        <v>276</v>
      </c>
      <c r="BW3" s="1392"/>
      <c r="BX3" s="1392"/>
      <c r="BY3" s="1393"/>
      <c r="BZ3" s="1390" t="s">
        <v>277</v>
      </c>
      <c r="CA3" s="1390"/>
      <c r="CB3" s="1390"/>
      <c r="CC3" s="1391"/>
      <c r="CD3" s="1390" t="s">
        <v>278</v>
      </c>
      <c r="CE3" s="1390"/>
      <c r="CF3" s="1390"/>
      <c r="CG3" s="1391"/>
      <c r="CH3" s="1390" t="s">
        <v>279</v>
      </c>
      <c r="CI3" s="1390"/>
      <c r="CJ3" s="1390"/>
      <c r="CK3" s="1391"/>
      <c r="CL3" s="1390" t="s">
        <v>280</v>
      </c>
      <c r="CM3" s="1390"/>
      <c r="CN3" s="1390"/>
      <c r="CO3" s="1391"/>
      <c r="CP3" s="1390" t="s">
        <v>2</v>
      </c>
      <c r="CQ3" s="1390"/>
      <c r="CR3" s="1390"/>
      <c r="CS3" s="1391"/>
      <c r="CT3" s="1392" t="s">
        <v>281</v>
      </c>
      <c r="CU3" s="1392"/>
      <c r="CV3" s="1392"/>
      <c r="CW3" s="1393"/>
      <c r="CX3" s="1394" t="s">
        <v>3</v>
      </c>
      <c r="CY3" s="1395"/>
      <c r="CZ3" s="1395"/>
      <c r="DA3" s="1396"/>
    </row>
    <row r="4" spans="1:105" ht="13.5" x14ac:dyDescent="0.25">
      <c r="A4" s="1386"/>
      <c r="B4" s="24" t="s">
        <v>4</v>
      </c>
      <c r="C4" s="24" t="s">
        <v>5</v>
      </c>
      <c r="D4" s="24" t="s">
        <v>6</v>
      </c>
      <c r="E4" s="24" t="s">
        <v>7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4</v>
      </c>
      <c r="K4" s="24" t="s">
        <v>5</v>
      </c>
      <c r="L4" s="24" t="s">
        <v>6</v>
      </c>
      <c r="M4" s="24" t="s">
        <v>7</v>
      </c>
      <c r="N4" s="24" t="s">
        <v>4</v>
      </c>
      <c r="O4" s="24" t="s">
        <v>5</v>
      </c>
      <c r="P4" s="24" t="s">
        <v>6</v>
      </c>
      <c r="Q4" s="24" t="s">
        <v>7</v>
      </c>
      <c r="R4" s="24" t="s">
        <v>4</v>
      </c>
      <c r="S4" s="24" t="s">
        <v>5</v>
      </c>
      <c r="T4" s="24" t="s">
        <v>6</v>
      </c>
      <c r="U4" s="24" t="s">
        <v>7</v>
      </c>
      <c r="V4" s="24" t="s">
        <v>4</v>
      </c>
      <c r="W4" s="24" t="s">
        <v>5</v>
      </c>
      <c r="X4" s="24" t="s">
        <v>6</v>
      </c>
      <c r="Y4" s="24" t="s">
        <v>7</v>
      </c>
      <c r="Z4" s="24" t="s">
        <v>4</v>
      </c>
      <c r="AA4" s="24" t="s">
        <v>5</v>
      </c>
      <c r="AB4" s="24" t="s">
        <v>6</v>
      </c>
      <c r="AC4" s="24" t="s">
        <v>7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4</v>
      </c>
      <c r="AI4" s="24" t="s">
        <v>5</v>
      </c>
      <c r="AJ4" s="24" t="s">
        <v>6</v>
      </c>
      <c r="AK4" s="24" t="s">
        <v>7</v>
      </c>
      <c r="AL4" s="24" t="s">
        <v>4</v>
      </c>
      <c r="AM4" s="24" t="s">
        <v>5</v>
      </c>
      <c r="AN4" s="24" t="s">
        <v>6</v>
      </c>
      <c r="AO4" s="24" t="s">
        <v>7</v>
      </c>
      <c r="AP4" s="24" t="s">
        <v>4</v>
      </c>
      <c r="AQ4" s="24" t="s">
        <v>5</v>
      </c>
      <c r="AR4" s="24" t="s">
        <v>6</v>
      </c>
      <c r="AS4" s="24" t="s">
        <v>7</v>
      </c>
      <c r="AT4" s="24" t="s">
        <v>4</v>
      </c>
      <c r="AU4" s="24" t="s">
        <v>5</v>
      </c>
      <c r="AV4" s="24" t="s">
        <v>6</v>
      </c>
      <c r="AW4" s="24" t="s">
        <v>7</v>
      </c>
      <c r="AX4" s="24" t="s">
        <v>4</v>
      </c>
      <c r="AY4" s="24" t="s">
        <v>5</v>
      </c>
      <c r="AZ4" s="24" t="s">
        <v>6</v>
      </c>
      <c r="BA4" s="24" t="s">
        <v>7</v>
      </c>
      <c r="BB4" s="24" t="s">
        <v>4</v>
      </c>
      <c r="BC4" s="24" t="s">
        <v>5</v>
      </c>
      <c r="BD4" s="24" t="s">
        <v>6</v>
      </c>
      <c r="BE4" s="24" t="s">
        <v>7</v>
      </c>
      <c r="BF4" s="24" t="s">
        <v>4</v>
      </c>
      <c r="BG4" s="24" t="s">
        <v>5</v>
      </c>
      <c r="BH4" s="24" t="s">
        <v>6</v>
      </c>
      <c r="BI4" s="24" t="s">
        <v>7</v>
      </c>
      <c r="BJ4" s="24" t="s">
        <v>4</v>
      </c>
      <c r="BK4" s="24" t="s">
        <v>5</v>
      </c>
      <c r="BL4" s="24" t="s">
        <v>6</v>
      </c>
      <c r="BM4" s="24" t="s">
        <v>7</v>
      </c>
      <c r="BN4" s="24" t="s">
        <v>4</v>
      </c>
      <c r="BO4" s="24" t="s">
        <v>5</v>
      </c>
      <c r="BP4" s="24" t="s">
        <v>6</v>
      </c>
      <c r="BQ4" s="24" t="s">
        <v>7</v>
      </c>
      <c r="BR4" s="24" t="s">
        <v>4</v>
      </c>
      <c r="BS4" s="24" t="s">
        <v>5</v>
      </c>
      <c r="BT4" s="24" t="s">
        <v>6</v>
      </c>
      <c r="BU4" s="24" t="s">
        <v>7</v>
      </c>
      <c r="BV4" s="24" t="s">
        <v>4</v>
      </c>
      <c r="BW4" s="24" t="s">
        <v>5</v>
      </c>
      <c r="BX4" s="24" t="s">
        <v>6</v>
      </c>
      <c r="BY4" s="24" t="s">
        <v>7</v>
      </c>
      <c r="BZ4" s="24" t="s">
        <v>4</v>
      </c>
      <c r="CA4" s="24" t="s">
        <v>5</v>
      </c>
      <c r="CB4" s="24" t="s">
        <v>6</v>
      </c>
      <c r="CC4" s="24" t="s">
        <v>7</v>
      </c>
      <c r="CD4" s="24" t="s">
        <v>4</v>
      </c>
      <c r="CE4" s="24" t="s">
        <v>5</v>
      </c>
      <c r="CF4" s="24" t="s">
        <v>6</v>
      </c>
      <c r="CG4" s="24" t="s">
        <v>7</v>
      </c>
      <c r="CH4" s="24" t="s">
        <v>4</v>
      </c>
      <c r="CI4" s="24" t="s">
        <v>5</v>
      </c>
      <c r="CJ4" s="24" t="s">
        <v>6</v>
      </c>
      <c r="CK4" s="24" t="s">
        <v>7</v>
      </c>
      <c r="CL4" s="24" t="s">
        <v>4</v>
      </c>
      <c r="CM4" s="24" t="s">
        <v>5</v>
      </c>
      <c r="CN4" s="24" t="s">
        <v>6</v>
      </c>
      <c r="CO4" s="24" t="s">
        <v>7</v>
      </c>
      <c r="CP4" s="24" t="s">
        <v>4</v>
      </c>
      <c r="CQ4" s="24" t="s">
        <v>5</v>
      </c>
      <c r="CR4" s="24" t="s">
        <v>6</v>
      </c>
      <c r="CS4" s="24" t="s">
        <v>7</v>
      </c>
      <c r="CT4" s="24" t="s">
        <v>4</v>
      </c>
      <c r="CU4" s="24" t="s">
        <v>5</v>
      </c>
      <c r="CV4" s="24" t="s">
        <v>6</v>
      </c>
      <c r="CW4" s="24" t="s">
        <v>7</v>
      </c>
      <c r="CX4" s="24" t="s">
        <v>4</v>
      </c>
      <c r="CY4" s="24" t="s">
        <v>5</v>
      </c>
      <c r="CZ4" s="24" t="s">
        <v>6</v>
      </c>
      <c r="DA4" s="24" t="s">
        <v>7</v>
      </c>
    </row>
    <row r="5" spans="1:105" ht="14.25" x14ac:dyDescent="0.25">
      <c r="A5" s="524" t="s">
        <v>68</v>
      </c>
      <c r="B5" s="525"/>
      <c r="C5" s="526"/>
      <c r="D5" s="526"/>
      <c r="E5" s="527"/>
      <c r="F5" s="528"/>
      <c r="G5" s="529"/>
      <c r="H5" s="529"/>
      <c r="I5" s="530"/>
      <c r="J5" s="528"/>
      <c r="K5" s="529"/>
      <c r="L5" s="529"/>
      <c r="M5" s="530"/>
      <c r="N5" s="528"/>
      <c r="O5" s="529"/>
      <c r="P5" s="529"/>
      <c r="Q5" s="530"/>
      <c r="R5" s="528"/>
      <c r="S5" s="529"/>
      <c r="T5" s="529"/>
      <c r="U5" s="530"/>
      <c r="V5" s="528"/>
      <c r="W5" s="529"/>
      <c r="X5" s="529"/>
      <c r="Y5" s="530"/>
      <c r="Z5" s="528"/>
      <c r="AA5" s="529"/>
      <c r="AB5" s="529"/>
      <c r="AC5" s="530"/>
      <c r="AD5" s="528"/>
      <c r="AE5" s="529"/>
      <c r="AF5" s="529"/>
      <c r="AG5" s="530"/>
      <c r="AH5" s="528"/>
      <c r="AI5" s="529"/>
      <c r="AJ5" s="529"/>
      <c r="AK5" s="530"/>
      <c r="AL5" s="528"/>
      <c r="AM5" s="529"/>
      <c r="AN5" s="529"/>
      <c r="AO5" s="530"/>
      <c r="AP5" s="528"/>
      <c r="AQ5" s="529"/>
      <c r="AR5" s="529"/>
      <c r="AS5" s="530"/>
      <c r="AT5" s="528"/>
      <c r="AU5" s="529"/>
      <c r="AV5" s="529"/>
      <c r="AW5" s="530"/>
      <c r="AX5" s="528"/>
      <c r="AY5" s="529"/>
      <c r="AZ5" s="529"/>
      <c r="BA5" s="530"/>
      <c r="BB5" s="528"/>
      <c r="BC5" s="529"/>
      <c r="BD5" s="529"/>
      <c r="BE5" s="530"/>
      <c r="BF5" s="528"/>
      <c r="BG5" s="529"/>
      <c r="BH5" s="529"/>
      <c r="BI5" s="530"/>
      <c r="BJ5" s="528"/>
      <c r="BK5" s="529"/>
      <c r="BL5" s="529"/>
      <c r="BM5" s="530"/>
      <c r="BN5" s="528"/>
      <c r="BO5" s="529"/>
      <c r="BP5" s="529"/>
      <c r="BQ5" s="530"/>
      <c r="BR5" s="528"/>
      <c r="BS5" s="529"/>
      <c r="BT5" s="529"/>
      <c r="BU5" s="530"/>
      <c r="BV5" s="528"/>
      <c r="BW5" s="529"/>
      <c r="BX5" s="529"/>
      <c r="BY5" s="530"/>
      <c r="BZ5" s="528"/>
      <c r="CA5" s="529"/>
      <c r="CB5" s="529"/>
      <c r="CC5" s="530"/>
      <c r="CD5" s="528"/>
      <c r="CE5" s="529"/>
      <c r="CF5" s="529"/>
      <c r="CG5" s="530"/>
      <c r="CH5" s="528"/>
      <c r="CI5" s="529"/>
      <c r="CJ5" s="529"/>
      <c r="CK5" s="530"/>
      <c r="CL5" s="528"/>
      <c r="CM5" s="529"/>
      <c r="CN5" s="529"/>
      <c r="CO5" s="530"/>
      <c r="CP5" s="528"/>
      <c r="CQ5" s="529"/>
      <c r="CR5" s="529"/>
      <c r="CS5" s="530"/>
      <c r="CT5" s="528"/>
      <c r="CU5" s="529"/>
      <c r="CV5" s="529"/>
      <c r="CW5" s="530"/>
      <c r="CX5" s="531"/>
      <c r="CY5" s="529"/>
      <c r="CZ5" s="522"/>
      <c r="DA5" s="523"/>
    </row>
    <row r="6" spans="1:105" ht="14.25" x14ac:dyDescent="0.3">
      <c r="A6" s="524" t="s">
        <v>69</v>
      </c>
      <c r="B6" s="532">
        <v>852096</v>
      </c>
      <c r="C6" s="533">
        <v>431915</v>
      </c>
      <c r="D6" s="533">
        <v>1860412</v>
      </c>
      <c r="E6" s="534">
        <v>1047765</v>
      </c>
      <c r="F6" s="535">
        <v>2256</v>
      </c>
      <c r="G6" s="536">
        <v>6447</v>
      </c>
      <c r="H6" s="536">
        <v>6550</v>
      </c>
      <c r="I6" s="537">
        <v>18742</v>
      </c>
      <c r="J6" s="535">
        <v>13805</v>
      </c>
      <c r="K6" s="536">
        <v>45408</v>
      </c>
      <c r="L6" s="536">
        <v>100501</v>
      </c>
      <c r="M6" s="537">
        <v>115406</v>
      </c>
      <c r="N6" s="535">
        <v>456565</v>
      </c>
      <c r="O6" s="536">
        <v>321138</v>
      </c>
      <c r="P6" s="536">
        <v>1177997</v>
      </c>
      <c r="Q6" s="537">
        <v>798998</v>
      </c>
      <c r="R6" s="535">
        <v>327024</v>
      </c>
      <c r="S6" s="536">
        <v>228181</v>
      </c>
      <c r="T6" s="536">
        <v>865183</v>
      </c>
      <c r="U6" s="537">
        <v>537904</v>
      </c>
      <c r="V6" s="535">
        <v>299096</v>
      </c>
      <c r="W6" s="536">
        <v>291787</v>
      </c>
      <c r="X6" s="536">
        <v>838582</v>
      </c>
      <c r="Y6" s="537">
        <v>736887</v>
      </c>
      <c r="Z6" s="535">
        <v>70859</v>
      </c>
      <c r="AA6" s="536">
        <v>99532</v>
      </c>
      <c r="AB6" s="536">
        <v>331115</v>
      </c>
      <c r="AC6" s="537">
        <v>252278</v>
      </c>
      <c r="AD6" s="535">
        <v>113979</v>
      </c>
      <c r="AE6" s="536">
        <v>67183</v>
      </c>
      <c r="AF6" s="536">
        <v>254806</v>
      </c>
      <c r="AG6" s="537">
        <v>164202</v>
      </c>
      <c r="AH6" s="535">
        <v>328510</v>
      </c>
      <c r="AI6" s="536">
        <v>264787</v>
      </c>
      <c r="AJ6" s="536">
        <v>890057</v>
      </c>
      <c r="AK6" s="537">
        <v>743885</v>
      </c>
      <c r="AL6" s="535">
        <v>88302</v>
      </c>
      <c r="AM6" s="536">
        <v>60211</v>
      </c>
      <c r="AN6" s="536">
        <v>229426</v>
      </c>
      <c r="AO6" s="537">
        <v>174397</v>
      </c>
      <c r="AP6" s="535">
        <v>1778375</v>
      </c>
      <c r="AQ6" s="536">
        <v>2125725</v>
      </c>
      <c r="AR6" s="536">
        <v>5070234</v>
      </c>
      <c r="AS6" s="537">
        <v>5448857</v>
      </c>
      <c r="AT6" s="536">
        <v>2675417</v>
      </c>
      <c r="AU6" s="538">
        <v>2827468</v>
      </c>
      <c r="AV6" s="536">
        <v>7522564</v>
      </c>
      <c r="AW6" s="537">
        <v>7066653</v>
      </c>
      <c r="AX6" s="539">
        <v>200267</v>
      </c>
      <c r="AY6" s="540">
        <v>164518</v>
      </c>
      <c r="AZ6" s="540">
        <v>521038</v>
      </c>
      <c r="BA6" s="541">
        <v>500447</v>
      </c>
      <c r="BB6" s="535">
        <v>184788</v>
      </c>
      <c r="BC6" s="536">
        <v>177993</v>
      </c>
      <c r="BD6" s="536">
        <v>494561</v>
      </c>
      <c r="BE6" s="537">
        <v>457302</v>
      </c>
      <c r="BF6" s="535">
        <v>800123</v>
      </c>
      <c r="BG6" s="536">
        <v>677459</v>
      </c>
      <c r="BH6" s="536">
        <v>1780254</v>
      </c>
      <c r="BI6" s="537">
        <v>1546519</v>
      </c>
      <c r="BJ6" s="535">
        <v>1619753</v>
      </c>
      <c r="BK6" s="536">
        <v>1528544</v>
      </c>
      <c r="BL6" s="536">
        <v>4263617</v>
      </c>
      <c r="BM6" s="537">
        <v>3807867</v>
      </c>
      <c r="BN6" s="535">
        <v>413074</v>
      </c>
      <c r="BO6" s="536">
        <v>408127</v>
      </c>
      <c r="BP6" s="536">
        <v>1073792</v>
      </c>
      <c r="BQ6" s="537">
        <v>1014332</v>
      </c>
      <c r="BR6" s="535">
        <v>266419</v>
      </c>
      <c r="BS6" s="536">
        <v>200552</v>
      </c>
      <c r="BT6" s="536">
        <v>741424</v>
      </c>
      <c r="BU6" s="537">
        <v>635725</v>
      </c>
      <c r="BV6" s="542"/>
      <c r="BW6" s="522"/>
      <c r="BX6" s="522"/>
      <c r="BY6" s="523"/>
      <c r="BZ6" s="543">
        <v>2172671</v>
      </c>
      <c r="CA6" s="544">
        <v>2015602</v>
      </c>
      <c r="CB6" s="544">
        <v>5148352</v>
      </c>
      <c r="CC6" s="545">
        <v>4876189</v>
      </c>
      <c r="CD6" s="546">
        <v>146171</v>
      </c>
      <c r="CE6" s="547">
        <v>194455</v>
      </c>
      <c r="CF6" s="547">
        <v>526557</v>
      </c>
      <c r="CG6" s="548">
        <v>495275</v>
      </c>
      <c r="CH6" s="549">
        <v>250372</v>
      </c>
      <c r="CI6" s="550">
        <v>257285</v>
      </c>
      <c r="CJ6" s="550">
        <v>605348</v>
      </c>
      <c r="CK6" s="551">
        <v>606304</v>
      </c>
      <c r="CL6" s="535">
        <v>1168899</v>
      </c>
      <c r="CM6" s="536">
        <v>660073</v>
      </c>
      <c r="CN6" s="536">
        <v>2707157</v>
      </c>
      <c r="CO6" s="537">
        <v>1652589</v>
      </c>
      <c r="CP6" s="552">
        <f>SUM(B6+F6+J6+N6+R6+V6+Z6+AD6+AH6+AL6+AP6+AT6+AX6+BB6+BF6+BJ6+BN6+BR6+BV6+BZ6+CD6+CH6+CL6)</f>
        <v>14228821</v>
      </c>
      <c r="CQ6" s="552">
        <f t="shared" ref="CQ6:CS21" si="0">SUM(C6+G6+K6+O6+S6+W6+AA6+AE6+AI6+AM6+AQ6+AU6+AY6+BC6+BG6+BK6+BO6+BS6+BW6+CA6+CE6+CI6+CM6)</f>
        <v>13054390</v>
      </c>
      <c r="CR6" s="552">
        <f t="shared" si="0"/>
        <v>37009527</v>
      </c>
      <c r="CS6" s="552">
        <f t="shared" si="0"/>
        <v>32698523</v>
      </c>
      <c r="CT6" s="549">
        <v>20266357</v>
      </c>
      <c r="CU6" s="550">
        <v>20491727</v>
      </c>
      <c r="CV6" s="550">
        <v>56731917</v>
      </c>
      <c r="CW6" s="551">
        <v>52064690</v>
      </c>
      <c r="CX6" s="370">
        <f>CP6+CT6</f>
        <v>34495178</v>
      </c>
      <c r="CY6" s="370">
        <f t="shared" ref="CY6:DA21" si="1">CQ6+CU6</f>
        <v>33546117</v>
      </c>
      <c r="CZ6" s="370">
        <f t="shared" si="1"/>
        <v>93741444</v>
      </c>
      <c r="DA6" s="370">
        <f t="shared" si="1"/>
        <v>84763213</v>
      </c>
    </row>
    <row r="7" spans="1:105" ht="14.25" x14ac:dyDescent="0.3">
      <c r="A7" s="524" t="s">
        <v>70</v>
      </c>
      <c r="B7" s="532">
        <v>256337</v>
      </c>
      <c r="C7" s="533">
        <v>241846</v>
      </c>
      <c r="D7" s="533">
        <v>661837</v>
      </c>
      <c r="E7" s="534">
        <v>601267</v>
      </c>
      <c r="F7" s="535">
        <v>5573</v>
      </c>
      <c r="G7" s="536">
        <v>6203</v>
      </c>
      <c r="H7" s="536">
        <v>17475</v>
      </c>
      <c r="I7" s="537">
        <v>15501</v>
      </c>
      <c r="J7" s="535">
        <v>24344</v>
      </c>
      <c r="K7" s="536">
        <v>29980</v>
      </c>
      <c r="L7" s="536">
        <v>75163</v>
      </c>
      <c r="M7" s="537">
        <v>78684</v>
      </c>
      <c r="N7" s="535">
        <v>214938</v>
      </c>
      <c r="O7" s="536">
        <v>128322</v>
      </c>
      <c r="P7" s="536">
        <v>487677</v>
      </c>
      <c r="Q7" s="537">
        <v>402501</v>
      </c>
      <c r="R7" s="535">
        <v>100876</v>
      </c>
      <c r="S7" s="536">
        <v>87341</v>
      </c>
      <c r="T7" s="536">
        <v>258211</v>
      </c>
      <c r="U7" s="537">
        <v>217064</v>
      </c>
      <c r="V7" s="535">
        <v>110529</v>
      </c>
      <c r="W7" s="536">
        <v>41290</v>
      </c>
      <c r="X7" s="536">
        <v>275194</v>
      </c>
      <c r="Y7" s="537">
        <v>100990</v>
      </c>
      <c r="Z7" s="535">
        <v>30136</v>
      </c>
      <c r="AA7" s="536">
        <v>20613</v>
      </c>
      <c r="AB7" s="536">
        <v>75732</v>
      </c>
      <c r="AC7" s="537">
        <v>46083</v>
      </c>
      <c r="AD7" s="535">
        <v>26590</v>
      </c>
      <c r="AE7" s="536">
        <v>20530</v>
      </c>
      <c r="AF7" s="536">
        <v>68051</v>
      </c>
      <c r="AG7" s="537">
        <v>48085</v>
      </c>
      <c r="AH7" s="535">
        <v>112710</v>
      </c>
      <c r="AI7" s="536">
        <v>87835</v>
      </c>
      <c r="AJ7" s="536">
        <v>326413</v>
      </c>
      <c r="AK7" s="537">
        <v>265272</v>
      </c>
      <c r="AL7" s="535">
        <v>17781</v>
      </c>
      <c r="AM7" s="536">
        <v>14145</v>
      </c>
      <c r="AN7" s="536">
        <v>47468</v>
      </c>
      <c r="AO7" s="537">
        <v>31587</v>
      </c>
      <c r="AP7" s="535">
        <v>555307</v>
      </c>
      <c r="AQ7" s="536">
        <v>361293</v>
      </c>
      <c r="AR7" s="536">
        <v>1339179</v>
      </c>
      <c r="AS7" s="537">
        <v>961503</v>
      </c>
      <c r="AT7" s="536">
        <v>893211</v>
      </c>
      <c r="AU7" s="538">
        <v>845053</v>
      </c>
      <c r="AV7" s="536">
        <v>2600910</v>
      </c>
      <c r="AW7" s="537">
        <v>2279941</v>
      </c>
      <c r="AX7" s="539">
        <v>44151</v>
      </c>
      <c r="AY7" s="540">
        <v>38755</v>
      </c>
      <c r="AZ7" s="540">
        <v>119875</v>
      </c>
      <c r="BA7" s="541">
        <v>117643</v>
      </c>
      <c r="BB7" s="535">
        <v>61295</v>
      </c>
      <c r="BC7" s="536">
        <v>41114</v>
      </c>
      <c r="BD7" s="536">
        <v>167665</v>
      </c>
      <c r="BE7" s="537">
        <v>96153</v>
      </c>
      <c r="BF7" s="535">
        <v>292586</v>
      </c>
      <c r="BG7" s="536">
        <v>215608</v>
      </c>
      <c r="BH7" s="536">
        <v>713502</v>
      </c>
      <c r="BI7" s="537">
        <v>549466</v>
      </c>
      <c r="BJ7" s="535">
        <v>623146</v>
      </c>
      <c r="BK7" s="536">
        <v>618955</v>
      </c>
      <c r="BL7" s="536">
        <v>1603676</v>
      </c>
      <c r="BM7" s="537">
        <v>1568012</v>
      </c>
      <c r="BN7" s="535">
        <v>197296</v>
      </c>
      <c r="BO7" s="536">
        <v>135833</v>
      </c>
      <c r="BP7" s="536">
        <v>475049</v>
      </c>
      <c r="BQ7" s="537">
        <v>341051</v>
      </c>
      <c r="BR7" s="535">
        <v>166966</v>
      </c>
      <c r="BS7" s="536">
        <v>152331</v>
      </c>
      <c r="BT7" s="536">
        <v>448839</v>
      </c>
      <c r="BU7" s="537">
        <v>422533</v>
      </c>
      <c r="BV7" s="542"/>
      <c r="BW7" s="522"/>
      <c r="BX7" s="522"/>
      <c r="BY7" s="523"/>
      <c r="BZ7" s="543">
        <v>1425676</v>
      </c>
      <c r="CA7" s="544">
        <v>1057062</v>
      </c>
      <c r="CB7" s="544">
        <v>3313272</v>
      </c>
      <c r="CC7" s="545">
        <v>2437933</v>
      </c>
      <c r="CD7" s="546">
        <v>73485</v>
      </c>
      <c r="CE7" s="547">
        <v>48961</v>
      </c>
      <c r="CF7" s="547">
        <v>162216</v>
      </c>
      <c r="CG7" s="548">
        <v>116549</v>
      </c>
      <c r="CH7" s="549">
        <v>131179</v>
      </c>
      <c r="CI7" s="550">
        <v>108063</v>
      </c>
      <c r="CJ7" s="550">
        <v>303916</v>
      </c>
      <c r="CK7" s="551">
        <v>257171</v>
      </c>
      <c r="CL7" s="535">
        <v>177672</v>
      </c>
      <c r="CM7" s="536">
        <v>146735</v>
      </c>
      <c r="CN7" s="536">
        <v>564130</v>
      </c>
      <c r="CO7" s="537">
        <v>346356</v>
      </c>
      <c r="CP7" s="552">
        <f t="shared" ref="CP7:CS25" si="2">SUM(B7+F7+J7+N7+R7+V7+Z7+AD7+AH7+AL7+AP7+AT7+AX7+BB7+BF7+BJ7+BN7+BR7+BV7+BZ7+CD7+CH7+CL7)</f>
        <v>5541784</v>
      </c>
      <c r="CQ7" s="552">
        <f t="shared" si="0"/>
        <v>4447868</v>
      </c>
      <c r="CR7" s="552">
        <f t="shared" si="0"/>
        <v>14105450</v>
      </c>
      <c r="CS7" s="552">
        <f t="shared" si="0"/>
        <v>11301345</v>
      </c>
      <c r="CT7" s="549">
        <v>24409278</v>
      </c>
      <c r="CU7" s="550">
        <v>24821047</v>
      </c>
      <c r="CV7" s="550">
        <v>68348828</v>
      </c>
      <c r="CW7" s="551">
        <v>64509069</v>
      </c>
      <c r="CX7" s="370">
        <f t="shared" ref="CX7:DA25" si="3">CP7+CT7</f>
        <v>29951062</v>
      </c>
      <c r="CY7" s="370">
        <f t="shared" si="1"/>
        <v>29268915</v>
      </c>
      <c r="CZ7" s="370">
        <f t="shared" si="1"/>
        <v>82454278</v>
      </c>
      <c r="DA7" s="370">
        <f t="shared" si="1"/>
        <v>75810414</v>
      </c>
    </row>
    <row r="8" spans="1:105" ht="14.25" x14ac:dyDescent="0.3">
      <c r="A8" s="524" t="s">
        <v>71</v>
      </c>
      <c r="B8" s="532">
        <v>10812</v>
      </c>
      <c r="C8" s="533">
        <v>11565</v>
      </c>
      <c r="D8" s="533">
        <v>31128</v>
      </c>
      <c r="E8" s="534">
        <v>14347</v>
      </c>
      <c r="F8" s="535"/>
      <c r="G8" s="536">
        <v>540</v>
      </c>
      <c r="H8" s="536"/>
      <c r="I8" s="537">
        <v>540</v>
      </c>
      <c r="J8" s="535">
        <v>54</v>
      </c>
      <c r="K8" s="536">
        <v>71</v>
      </c>
      <c r="L8" s="536">
        <v>92</v>
      </c>
      <c r="M8" s="537">
        <v>96</v>
      </c>
      <c r="N8" s="535">
        <v>100876</v>
      </c>
      <c r="O8" s="536">
        <v>17238</v>
      </c>
      <c r="P8" s="536">
        <v>253926</v>
      </c>
      <c r="Q8" s="537">
        <v>45875</v>
      </c>
      <c r="R8" s="535">
        <v>2544</v>
      </c>
      <c r="S8" s="536">
        <v>370</v>
      </c>
      <c r="T8" s="536">
        <v>6575</v>
      </c>
      <c r="U8" s="537">
        <v>1020</v>
      </c>
      <c r="V8" s="535">
        <v>5956</v>
      </c>
      <c r="W8" s="536">
        <v>3393</v>
      </c>
      <c r="X8" s="536">
        <v>17372</v>
      </c>
      <c r="Y8" s="537">
        <v>9662</v>
      </c>
      <c r="Z8" s="535">
        <v>24049</v>
      </c>
      <c r="AA8" s="536">
        <v>82793</v>
      </c>
      <c r="AB8" s="536">
        <v>247156</v>
      </c>
      <c r="AC8" s="537">
        <v>101778</v>
      </c>
      <c r="AD8" s="535">
        <v>346</v>
      </c>
      <c r="AE8" s="536">
        <v>615</v>
      </c>
      <c r="AF8" s="536">
        <v>1390</v>
      </c>
      <c r="AG8" s="537">
        <v>1764</v>
      </c>
      <c r="AH8" s="535">
        <v>760</v>
      </c>
      <c r="AI8" s="536">
        <v>796</v>
      </c>
      <c r="AJ8" s="536">
        <v>1951</v>
      </c>
      <c r="AK8" s="537">
        <v>2287</v>
      </c>
      <c r="AL8" s="535">
        <v>135</v>
      </c>
      <c r="AM8" s="536">
        <v>40</v>
      </c>
      <c r="AN8" s="536">
        <v>254</v>
      </c>
      <c r="AO8" s="537">
        <v>206</v>
      </c>
      <c r="AP8" s="535">
        <v>289208</v>
      </c>
      <c r="AQ8" s="536">
        <v>138297</v>
      </c>
      <c r="AR8" s="536">
        <v>831964</v>
      </c>
      <c r="AS8" s="537">
        <v>252240</v>
      </c>
      <c r="AT8" s="536">
        <v>102842</v>
      </c>
      <c r="AU8" s="538">
        <v>100159</v>
      </c>
      <c r="AV8" s="536">
        <v>294566</v>
      </c>
      <c r="AW8" s="537">
        <v>220266</v>
      </c>
      <c r="AX8" s="539">
        <v>22173</v>
      </c>
      <c r="AY8" s="540">
        <v>24808</v>
      </c>
      <c r="AZ8" s="540">
        <v>53572</v>
      </c>
      <c r="BA8" s="541">
        <v>51761</v>
      </c>
      <c r="BB8" s="535">
        <v>22363</v>
      </c>
      <c r="BC8" s="536">
        <v>11544</v>
      </c>
      <c r="BD8" s="536">
        <v>51075</v>
      </c>
      <c r="BE8" s="537">
        <v>26960</v>
      </c>
      <c r="BF8" s="535">
        <v>60556</v>
      </c>
      <c r="BG8" s="536">
        <v>23140</v>
      </c>
      <c r="BH8" s="536">
        <v>130354</v>
      </c>
      <c r="BI8" s="537">
        <v>48009</v>
      </c>
      <c r="BJ8" s="535">
        <v>39175</v>
      </c>
      <c r="BK8" s="536">
        <v>5168</v>
      </c>
      <c r="BL8" s="536">
        <v>103253</v>
      </c>
      <c r="BM8" s="537">
        <v>9501</v>
      </c>
      <c r="BN8" s="535">
        <v>21579</v>
      </c>
      <c r="BO8" s="536">
        <v>17216</v>
      </c>
      <c r="BP8" s="536">
        <v>55182</v>
      </c>
      <c r="BQ8" s="537">
        <v>43482</v>
      </c>
      <c r="BR8" s="535">
        <v>710</v>
      </c>
      <c r="BS8" s="536">
        <v>446</v>
      </c>
      <c r="BT8" s="536">
        <v>2405</v>
      </c>
      <c r="BU8" s="537">
        <v>1599</v>
      </c>
      <c r="BV8" s="542"/>
      <c r="BW8" s="522"/>
      <c r="BX8" s="522"/>
      <c r="BY8" s="523"/>
      <c r="BZ8" s="543">
        <v>193253</v>
      </c>
      <c r="CA8" s="544">
        <v>51180</v>
      </c>
      <c r="CB8" s="544">
        <v>481327</v>
      </c>
      <c r="CC8" s="545">
        <v>135179</v>
      </c>
      <c r="CD8" s="546">
        <v>2071</v>
      </c>
      <c r="CE8" s="547">
        <v>542</v>
      </c>
      <c r="CF8" s="547">
        <v>6287</v>
      </c>
      <c r="CG8" s="548">
        <v>1690</v>
      </c>
      <c r="CH8" s="549">
        <v>7863</v>
      </c>
      <c r="CI8" s="550">
        <v>7959</v>
      </c>
      <c r="CJ8" s="550">
        <v>24146</v>
      </c>
      <c r="CK8" s="551">
        <v>16818</v>
      </c>
      <c r="CL8" s="535">
        <v>524</v>
      </c>
      <c r="CM8" s="536">
        <v>205</v>
      </c>
      <c r="CN8" s="536">
        <v>1062</v>
      </c>
      <c r="CO8" s="537">
        <v>449</v>
      </c>
      <c r="CP8" s="552">
        <f t="shared" si="2"/>
        <v>907849</v>
      </c>
      <c r="CQ8" s="552">
        <f t="shared" si="0"/>
        <v>498085</v>
      </c>
      <c r="CR8" s="552">
        <f t="shared" si="0"/>
        <v>2595037</v>
      </c>
      <c r="CS8" s="552">
        <f t="shared" si="0"/>
        <v>985529</v>
      </c>
      <c r="CT8" s="549">
        <v>1310699</v>
      </c>
      <c r="CU8" s="550">
        <v>2106256</v>
      </c>
      <c r="CV8" s="550">
        <v>3161173</v>
      </c>
      <c r="CW8" s="551">
        <v>4153607</v>
      </c>
      <c r="CX8" s="370">
        <f t="shared" si="3"/>
        <v>2218548</v>
      </c>
      <c r="CY8" s="370">
        <f t="shared" si="1"/>
        <v>2604341</v>
      </c>
      <c r="CZ8" s="370">
        <f t="shared" si="1"/>
        <v>5756210</v>
      </c>
      <c r="DA8" s="370">
        <f t="shared" si="1"/>
        <v>5139136</v>
      </c>
    </row>
    <row r="9" spans="1:105" ht="14.25" x14ac:dyDescent="0.3">
      <c r="A9" s="553" t="s">
        <v>62</v>
      </c>
      <c r="B9" s="532">
        <v>1119245</v>
      </c>
      <c r="C9" s="533">
        <f>SUM(C6:C8)</f>
        <v>685326</v>
      </c>
      <c r="D9" s="533">
        <f>SUM(D6:D8)</f>
        <v>2553377</v>
      </c>
      <c r="E9" s="533">
        <f>SUM(E6:E8)</f>
        <v>1663379</v>
      </c>
      <c r="F9" s="535">
        <f>SUM(F6:F8)</f>
        <v>7829</v>
      </c>
      <c r="G9" s="535">
        <f t="shared" ref="G9:I9" si="4">SUM(G6:G8)</f>
        <v>13190</v>
      </c>
      <c r="H9" s="535">
        <f t="shared" si="4"/>
        <v>24025</v>
      </c>
      <c r="I9" s="535">
        <f t="shared" si="4"/>
        <v>34783</v>
      </c>
      <c r="J9" s="535">
        <f>SUM(J6:J8)</f>
        <v>38203</v>
      </c>
      <c r="K9" s="535">
        <f t="shared" ref="K9:X9" si="5">SUM(K6:K8)</f>
        <v>75459</v>
      </c>
      <c r="L9" s="535">
        <f t="shared" si="5"/>
        <v>175756</v>
      </c>
      <c r="M9" s="535">
        <f t="shared" si="5"/>
        <v>194186</v>
      </c>
      <c r="N9" s="535">
        <f t="shared" si="5"/>
        <v>772379</v>
      </c>
      <c r="O9" s="535">
        <f t="shared" si="5"/>
        <v>466698</v>
      </c>
      <c r="P9" s="535">
        <f t="shared" si="5"/>
        <v>1919600</v>
      </c>
      <c r="Q9" s="535">
        <f t="shared" si="5"/>
        <v>1247374</v>
      </c>
      <c r="R9" s="535">
        <f t="shared" si="5"/>
        <v>430444</v>
      </c>
      <c r="S9" s="535">
        <f t="shared" si="5"/>
        <v>315892</v>
      </c>
      <c r="T9" s="535">
        <f t="shared" si="5"/>
        <v>1129969</v>
      </c>
      <c r="U9" s="535">
        <f t="shared" si="5"/>
        <v>755988</v>
      </c>
      <c r="V9" s="535">
        <f t="shared" si="5"/>
        <v>415581</v>
      </c>
      <c r="W9" s="535">
        <f t="shared" si="5"/>
        <v>336470</v>
      </c>
      <c r="X9" s="535">
        <f t="shared" si="5"/>
        <v>1131148</v>
      </c>
      <c r="Y9" s="535">
        <v>847539</v>
      </c>
      <c r="Z9" s="535">
        <f>SUM(Z6:Z8)</f>
        <v>125044</v>
      </c>
      <c r="AA9" s="535">
        <f t="shared" ref="AA9:AS9" si="6">SUM(AA6:AA8)</f>
        <v>202938</v>
      </c>
      <c r="AB9" s="535">
        <f t="shared" si="6"/>
        <v>654003</v>
      </c>
      <c r="AC9" s="535">
        <f t="shared" si="6"/>
        <v>400139</v>
      </c>
      <c r="AD9" s="535">
        <f t="shared" si="6"/>
        <v>140915</v>
      </c>
      <c r="AE9" s="535">
        <f t="shared" si="6"/>
        <v>88328</v>
      </c>
      <c r="AF9" s="535">
        <f t="shared" si="6"/>
        <v>324247</v>
      </c>
      <c r="AG9" s="535">
        <f t="shared" si="6"/>
        <v>214051</v>
      </c>
      <c r="AH9" s="535">
        <f t="shared" si="6"/>
        <v>441980</v>
      </c>
      <c r="AI9" s="535">
        <f t="shared" si="6"/>
        <v>353418</v>
      </c>
      <c r="AJ9" s="535">
        <f t="shared" si="6"/>
        <v>1218421</v>
      </c>
      <c r="AK9" s="535">
        <f t="shared" si="6"/>
        <v>1011444</v>
      </c>
      <c r="AL9" s="535">
        <f t="shared" si="6"/>
        <v>106218</v>
      </c>
      <c r="AM9" s="535">
        <f t="shared" si="6"/>
        <v>74396</v>
      </c>
      <c r="AN9" s="535">
        <f t="shared" si="6"/>
        <v>277148</v>
      </c>
      <c r="AO9" s="535">
        <f t="shared" si="6"/>
        <v>206190</v>
      </c>
      <c r="AP9" s="535">
        <f t="shared" si="6"/>
        <v>2622890</v>
      </c>
      <c r="AQ9" s="535">
        <f t="shared" si="6"/>
        <v>2625315</v>
      </c>
      <c r="AR9" s="535">
        <f t="shared" si="6"/>
        <v>7241377</v>
      </c>
      <c r="AS9" s="535">
        <f t="shared" si="6"/>
        <v>6662600</v>
      </c>
      <c r="AT9" s="535">
        <f>SUM(AT6:AT8)</f>
        <v>3671470</v>
      </c>
      <c r="AU9" s="535">
        <f>SUM(AU6:AU8)</f>
        <v>3772680</v>
      </c>
      <c r="AV9" s="535">
        <f t="shared" ref="AV9:BY9" si="7">SUM(AV6:AV8)</f>
        <v>10418040</v>
      </c>
      <c r="AW9" s="535">
        <f t="shared" si="7"/>
        <v>9566860</v>
      </c>
      <c r="AX9" s="535">
        <f t="shared" si="7"/>
        <v>266591</v>
      </c>
      <c r="AY9" s="535">
        <f t="shared" si="7"/>
        <v>228081</v>
      </c>
      <c r="AZ9" s="535">
        <f t="shared" si="7"/>
        <v>694485</v>
      </c>
      <c r="BA9" s="535">
        <f t="shared" si="7"/>
        <v>669851</v>
      </c>
      <c r="BB9" s="535">
        <f t="shared" si="7"/>
        <v>268446</v>
      </c>
      <c r="BC9" s="535">
        <f t="shared" si="7"/>
        <v>230651</v>
      </c>
      <c r="BD9" s="535">
        <f t="shared" si="7"/>
        <v>713301</v>
      </c>
      <c r="BE9" s="535">
        <f t="shared" si="7"/>
        <v>580415</v>
      </c>
      <c r="BF9" s="535">
        <f t="shared" si="7"/>
        <v>1153265</v>
      </c>
      <c r="BG9" s="535">
        <f t="shared" si="7"/>
        <v>916207</v>
      </c>
      <c r="BH9" s="535">
        <f t="shared" si="7"/>
        <v>2624110</v>
      </c>
      <c r="BI9" s="535">
        <f t="shared" si="7"/>
        <v>2143994</v>
      </c>
      <c r="BJ9" s="535">
        <f t="shared" si="7"/>
        <v>2282074</v>
      </c>
      <c r="BK9" s="535">
        <f t="shared" si="7"/>
        <v>2152667</v>
      </c>
      <c r="BL9" s="535">
        <f t="shared" si="7"/>
        <v>5970546</v>
      </c>
      <c r="BM9" s="535">
        <f t="shared" si="7"/>
        <v>5385380</v>
      </c>
      <c r="BN9" s="535">
        <f t="shared" si="7"/>
        <v>631949</v>
      </c>
      <c r="BO9" s="535">
        <f t="shared" si="7"/>
        <v>561176</v>
      </c>
      <c r="BP9" s="535">
        <f t="shared" si="7"/>
        <v>1604023</v>
      </c>
      <c r="BQ9" s="535">
        <f t="shared" si="7"/>
        <v>1398865</v>
      </c>
      <c r="BR9" s="535">
        <f t="shared" si="7"/>
        <v>434095</v>
      </c>
      <c r="BS9" s="535">
        <f t="shared" si="7"/>
        <v>353329</v>
      </c>
      <c r="BT9" s="535">
        <f t="shared" si="7"/>
        <v>1192668</v>
      </c>
      <c r="BU9" s="535">
        <f t="shared" si="7"/>
        <v>1059857</v>
      </c>
      <c r="BV9" s="535">
        <f t="shared" si="7"/>
        <v>0</v>
      </c>
      <c r="BW9" s="535">
        <f t="shared" si="7"/>
        <v>0</v>
      </c>
      <c r="BX9" s="535">
        <f t="shared" si="7"/>
        <v>0</v>
      </c>
      <c r="BY9" s="535">
        <f t="shared" si="7"/>
        <v>0</v>
      </c>
      <c r="BZ9" s="554">
        <v>3791601</v>
      </c>
      <c r="CA9" s="555">
        <v>3123844</v>
      </c>
      <c r="CB9" s="555">
        <f>SUM(CB6:CB8)</f>
        <v>8942951</v>
      </c>
      <c r="CC9" s="555">
        <f>SUM(CC6:CC8)</f>
        <v>7449301</v>
      </c>
      <c r="CD9" s="555">
        <f>SUM(CD6:CD8)</f>
        <v>221727</v>
      </c>
      <c r="CE9" s="555">
        <f t="shared" ref="CE9:CO9" si="8">SUM(CE6:CE8)</f>
        <v>243958</v>
      </c>
      <c r="CF9" s="555">
        <f t="shared" si="8"/>
        <v>695060</v>
      </c>
      <c r="CG9" s="555">
        <f t="shared" si="8"/>
        <v>613514</v>
      </c>
      <c r="CH9" s="555">
        <f t="shared" si="8"/>
        <v>389414</v>
      </c>
      <c r="CI9" s="555">
        <f t="shared" si="8"/>
        <v>373307</v>
      </c>
      <c r="CJ9" s="555">
        <f t="shared" si="8"/>
        <v>933410</v>
      </c>
      <c r="CK9" s="555">
        <f t="shared" si="8"/>
        <v>880293</v>
      </c>
      <c r="CL9" s="555">
        <f t="shared" si="8"/>
        <v>1347095</v>
      </c>
      <c r="CM9" s="555">
        <f t="shared" si="8"/>
        <v>807013</v>
      </c>
      <c r="CN9" s="555">
        <f t="shared" si="8"/>
        <v>3272349</v>
      </c>
      <c r="CO9" s="555">
        <f t="shared" si="8"/>
        <v>1999394</v>
      </c>
      <c r="CP9" s="552">
        <f t="shared" si="2"/>
        <v>20678455</v>
      </c>
      <c r="CQ9" s="552">
        <f t="shared" si="0"/>
        <v>18000343</v>
      </c>
      <c r="CR9" s="552">
        <f t="shared" si="0"/>
        <v>53710014</v>
      </c>
      <c r="CS9" s="552">
        <f t="shared" si="0"/>
        <v>44985397</v>
      </c>
      <c r="CT9" s="549">
        <f>SUM(CT6:CT8)</f>
        <v>45986334</v>
      </c>
      <c r="CU9" s="549">
        <f t="shared" ref="CU9:CW9" si="9">SUM(CU6:CU8)</f>
        <v>47419030</v>
      </c>
      <c r="CV9" s="549">
        <f t="shared" si="9"/>
        <v>128241918</v>
      </c>
      <c r="CW9" s="549">
        <f t="shared" si="9"/>
        <v>120727366</v>
      </c>
      <c r="CX9" s="370">
        <f t="shared" si="3"/>
        <v>66664789</v>
      </c>
      <c r="CY9" s="370">
        <f t="shared" si="1"/>
        <v>65419373</v>
      </c>
      <c r="CZ9" s="370">
        <f t="shared" si="1"/>
        <v>181951932</v>
      </c>
      <c r="DA9" s="370">
        <f t="shared" si="1"/>
        <v>165712763</v>
      </c>
    </row>
    <row r="10" spans="1:105" ht="14.25" x14ac:dyDescent="0.3">
      <c r="A10" s="524" t="s">
        <v>72</v>
      </c>
      <c r="B10" s="525"/>
      <c r="C10" s="526"/>
      <c r="D10" s="526"/>
      <c r="E10" s="527"/>
      <c r="F10" s="552"/>
      <c r="G10" s="556"/>
      <c r="H10" s="556"/>
      <c r="I10" s="557"/>
      <c r="J10" s="552"/>
      <c r="K10" s="556"/>
      <c r="L10" s="556"/>
      <c r="M10" s="557"/>
      <c r="N10" s="552"/>
      <c r="O10" s="556"/>
      <c r="P10" s="556"/>
      <c r="Q10" s="557"/>
      <c r="R10" s="552"/>
      <c r="S10" s="556"/>
      <c r="T10" s="556"/>
      <c r="U10" s="557"/>
      <c r="V10" s="552"/>
      <c r="W10" s="556"/>
      <c r="X10" s="556"/>
      <c r="Y10" s="557"/>
      <c r="Z10" s="552"/>
      <c r="AA10" s="556"/>
      <c r="AB10" s="556"/>
      <c r="AC10" s="557"/>
      <c r="AD10" s="552"/>
      <c r="AE10" s="556"/>
      <c r="AF10" s="556"/>
      <c r="AG10" s="557"/>
      <c r="AH10" s="552"/>
      <c r="AI10" s="556"/>
      <c r="AJ10" s="556"/>
      <c r="AK10" s="557"/>
      <c r="AL10" s="552"/>
      <c r="AM10" s="556"/>
      <c r="AN10" s="556"/>
      <c r="AO10" s="557"/>
      <c r="AP10" s="552"/>
      <c r="AQ10" s="556"/>
      <c r="AR10" s="556"/>
      <c r="AS10" s="557"/>
      <c r="AT10" s="552"/>
      <c r="AU10" s="556"/>
      <c r="AV10" s="556"/>
      <c r="AW10" s="557"/>
      <c r="AX10" s="539"/>
      <c r="AY10" s="540"/>
      <c r="AZ10" s="540"/>
      <c r="BA10" s="541"/>
      <c r="BB10" s="552"/>
      <c r="BC10" s="556"/>
      <c r="BD10" s="556"/>
      <c r="BE10" s="557"/>
      <c r="BF10" s="558"/>
      <c r="BG10" s="559"/>
      <c r="BH10" s="559"/>
      <c r="BI10" s="560"/>
      <c r="BJ10" s="552"/>
      <c r="BK10" s="556"/>
      <c r="BL10" s="556"/>
      <c r="BM10" s="557"/>
      <c r="BN10" s="552"/>
      <c r="BO10" s="556"/>
      <c r="BP10" s="556"/>
      <c r="BQ10" s="557"/>
      <c r="BR10" s="552"/>
      <c r="BS10" s="556"/>
      <c r="BT10" s="556"/>
      <c r="BU10" s="557"/>
      <c r="BV10" s="542"/>
      <c r="BW10" s="522"/>
      <c r="BX10" s="522"/>
      <c r="BY10" s="523"/>
      <c r="BZ10" s="561"/>
      <c r="CA10" s="522"/>
      <c r="CB10" s="522"/>
      <c r="CC10" s="523"/>
      <c r="CD10" s="546"/>
      <c r="CE10" s="547"/>
      <c r="CF10" s="547"/>
      <c r="CG10" s="548"/>
      <c r="CH10" s="549"/>
      <c r="CI10" s="550"/>
      <c r="CJ10" s="550"/>
      <c r="CK10" s="551"/>
      <c r="CL10" s="552"/>
      <c r="CM10" s="556"/>
      <c r="CN10" s="556"/>
      <c r="CO10" s="557"/>
      <c r="CP10" s="552">
        <f t="shared" si="2"/>
        <v>0</v>
      </c>
      <c r="CQ10" s="552">
        <f t="shared" si="0"/>
        <v>0</v>
      </c>
      <c r="CR10" s="552">
        <f t="shared" si="0"/>
        <v>0</v>
      </c>
      <c r="CS10" s="552">
        <f t="shared" si="0"/>
        <v>0</v>
      </c>
      <c r="CT10" s="552"/>
      <c r="CU10" s="556"/>
      <c r="CV10" s="556"/>
      <c r="CW10" s="557"/>
      <c r="CX10" s="370">
        <f t="shared" si="3"/>
        <v>0</v>
      </c>
      <c r="CY10" s="370">
        <f t="shared" si="1"/>
        <v>0</v>
      </c>
      <c r="CZ10" s="370">
        <f t="shared" si="1"/>
        <v>0</v>
      </c>
      <c r="DA10" s="370">
        <f t="shared" si="1"/>
        <v>0</v>
      </c>
    </row>
    <row r="11" spans="1:105" ht="14.25" x14ac:dyDescent="0.3">
      <c r="A11" s="524" t="s">
        <v>73</v>
      </c>
      <c r="B11" s="532"/>
      <c r="C11" s="533"/>
      <c r="D11" s="533"/>
      <c r="E11" s="534"/>
      <c r="F11" s="535"/>
      <c r="G11" s="536"/>
      <c r="H11" s="536"/>
      <c r="I11" s="537"/>
      <c r="J11" s="535"/>
      <c r="K11" s="536"/>
      <c r="L11" s="536"/>
      <c r="M11" s="537"/>
      <c r="N11" s="535">
        <v>-878</v>
      </c>
      <c r="O11" s="536">
        <v>-1454</v>
      </c>
      <c r="P11" s="536"/>
      <c r="Q11" s="537">
        <v>-3831</v>
      </c>
      <c r="R11" s="535"/>
      <c r="S11" s="536"/>
      <c r="T11" s="536"/>
      <c r="U11" s="537"/>
      <c r="V11" s="535"/>
      <c r="W11" s="536"/>
      <c r="X11" s="536"/>
      <c r="Y11" s="537"/>
      <c r="Z11" s="535"/>
      <c r="AA11" s="536"/>
      <c r="AB11" s="536"/>
      <c r="AC11" s="537"/>
      <c r="AD11" s="535"/>
      <c r="AE11" s="536"/>
      <c r="AF11" s="536"/>
      <c r="AG11" s="537"/>
      <c r="AH11" s="535"/>
      <c r="AI11" s="536"/>
      <c r="AJ11" s="536"/>
      <c r="AK11" s="537"/>
      <c r="AL11" s="535"/>
      <c r="AM11" s="536"/>
      <c r="AN11" s="536"/>
      <c r="AO11" s="537"/>
      <c r="AP11" s="535"/>
      <c r="AQ11" s="536"/>
      <c r="AR11" s="536"/>
      <c r="AS11" s="537"/>
      <c r="AT11" s="535"/>
      <c r="AU11" s="536"/>
      <c r="AV11" s="536"/>
      <c r="AW11" s="537"/>
      <c r="AX11" s="535"/>
      <c r="AY11" s="536"/>
      <c r="AZ11" s="536"/>
      <c r="BA11" s="537"/>
      <c r="BB11" s="535"/>
      <c r="BC11" s="536"/>
      <c r="BD11" s="536"/>
      <c r="BE11" s="537"/>
      <c r="BF11" s="535"/>
      <c r="BG11" s="536"/>
      <c r="BH11" s="536"/>
      <c r="BI11" s="537"/>
      <c r="BJ11" s="535"/>
      <c r="BK11" s="536"/>
      <c r="BL11" s="536"/>
      <c r="BM11" s="537"/>
      <c r="BN11" s="535"/>
      <c r="BO11" s="536"/>
      <c r="BP11" s="536"/>
      <c r="BQ11" s="537"/>
      <c r="BR11" s="535"/>
      <c r="BS11" s="536"/>
      <c r="BT11" s="536"/>
      <c r="BU11" s="537"/>
      <c r="BV11" s="542"/>
      <c r="BW11" s="522"/>
      <c r="BX11" s="522"/>
      <c r="BY11" s="523"/>
      <c r="BZ11" s="561"/>
      <c r="CA11" s="522"/>
      <c r="CB11" s="522"/>
      <c r="CC11" s="523"/>
      <c r="CD11" s="546"/>
      <c r="CE11" s="547"/>
      <c r="CF11" s="547"/>
      <c r="CG11" s="548"/>
      <c r="CH11" s="549"/>
      <c r="CI11" s="550"/>
      <c r="CJ11" s="550"/>
      <c r="CK11" s="551"/>
      <c r="CL11" s="535">
        <v>-1638</v>
      </c>
      <c r="CM11" s="536">
        <v>-5400</v>
      </c>
      <c r="CN11" s="536">
        <v>640</v>
      </c>
      <c r="CO11" s="537">
        <v>-2824</v>
      </c>
      <c r="CP11" s="552">
        <f t="shared" si="2"/>
        <v>-2516</v>
      </c>
      <c r="CQ11" s="552">
        <f t="shared" si="0"/>
        <v>-6854</v>
      </c>
      <c r="CR11" s="552">
        <f t="shared" si="0"/>
        <v>640</v>
      </c>
      <c r="CS11" s="552">
        <f t="shared" si="0"/>
        <v>-6655</v>
      </c>
      <c r="CT11" s="549"/>
      <c r="CU11" s="550"/>
      <c r="CV11" s="550"/>
      <c r="CW11" s="551"/>
      <c r="CX11" s="370">
        <f t="shared" si="3"/>
        <v>-2516</v>
      </c>
      <c r="CY11" s="370">
        <f t="shared" si="1"/>
        <v>-6854</v>
      </c>
      <c r="CZ11" s="370">
        <f t="shared" si="1"/>
        <v>640</v>
      </c>
      <c r="DA11" s="370">
        <f t="shared" si="1"/>
        <v>-6655</v>
      </c>
    </row>
    <row r="12" spans="1:105" ht="14.25" x14ac:dyDescent="0.3">
      <c r="A12" s="553" t="s">
        <v>74</v>
      </c>
      <c r="B12" s="532">
        <v>1119245</v>
      </c>
      <c r="C12" s="533">
        <f>C9</f>
        <v>685326</v>
      </c>
      <c r="D12" s="533">
        <f t="shared" ref="D12:E12" si="10">D9</f>
        <v>2553377</v>
      </c>
      <c r="E12" s="533">
        <f t="shared" si="10"/>
        <v>1663379</v>
      </c>
      <c r="F12" s="535">
        <f>F9</f>
        <v>7829</v>
      </c>
      <c r="G12" s="535">
        <f t="shared" ref="G12:I12" si="11">G9</f>
        <v>13190</v>
      </c>
      <c r="H12" s="535">
        <f t="shared" si="11"/>
        <v>24025</v>
      </c>
      <c r="I12" s="535">
        <f t="shared" si="11"/>
        <v>34783</v>
      </c>
      <c r="J12" s="535">
        <f>J9</f>
        <v>38203</v>
      </c>
      <c r="K12" s="535">
        <f t="shared" ref="K12:M12" si="12">K9</f>
        <v>75459</v>
      </c>
      <c r="L12" s="535">
        <f t="shared" si="12"/>
        <v>175756</v>
      </c>
      <c r="M12" s="535">
        <f t="shared" si="12"/>
        <v>194186</v>
      </c>
      <c r="N12" s="535">
        <f>SUM(N9:N11)</f>
        <v>771501</v>
      </c>
      <c r="O12" s="535">
        <f t="shared" ref="O12:BA12" si="13">SUM(O9:O11)</f>
        <v>465244</v>
      </c>
      <c r="P12" s="535">
        <f t="shared" si="13"/>
        <v>1919600</v>
      </c>
      <c r="Q12" s="535">
        <f t="shared" si="13"/>
        <v>1243543</v>
      </c>
      <c r="R12" s="535">
        <f t="shared" si="13"/>
        <v>430444</v>
      </c>
      <c r="S12" s="535">
        <f t="shared" si="13"/>
        <v>315892</v>
      </c>
      <c r="T12" s="535">
        <f t="shared" si="13"/>
        <v>1129969</v>
      </c>
      <c r="U12" s="535">
        <f t="shared" si="13"/>
        <v>755988</v>
      </c>
      <c r="V12" s="535">
        <f t="shared" si="13"/>
        <v>415581</v>
      </c>
      <c r="W12" s="535">
        <f t="shared" si="13"/>
        <v>336470</v>
      </c>
      <c r="X12" s="535">
        <f t="shared" si="13"/>
        <v>1131148</v>
      </c>
      <c r="Y12" s="535">
        <f t="shared" si="13"/>
        <v>847539</v>
      </c>
      <c r="Z12" s="535">
        <f t="shared" si="13"/>
        <v>125044</v>
      </c>
      <c r="AA12" s="535">
        <f t="shared" si="13"/>
        <v>202938</v>
      </c>
      <c r="AB12" s="535">
        <f t="shared" si="13"/>
        <v>654003</v>
      </c>
      <c r="AC12" s="535">
        <f t="shared" si="13"/>
        <v>400139</v>
      </c>
      <c r="AD12" s="535">
        <f t="shared" si="13"/>
        <v>140915</v>
      </c>
      <c r="AE12" s="535">
        <f t="shared" si="13"/>
        <v>88328</v>
      </c>
      <c r="AF12" s="535">
        <f t="shared" si="13"/>
        <v>324247</v>
      </c>
      <c r="AG12" s="535">
        <f t="shared" si="13"/>
        <v>214051</v>
      </c>
      <c r="AH12" s="535">
        <f t="shared" si="13"/>
        <v>441980</v>
      </c>
      <c r="AI12" s="535">
        <f t="shared" si="13"/>
        <v>353418</v>
      </c>
      <c r="AJ12" s="535">
        <f t="shared" si="13"/>
        <v>1218421</v>
      </c>
      <c r="AK12" s="535">
        <f t="shared" si="13"/>
        <v>1011444</v>
      </c>
      <c r="AL12" s="535">
        <f t="shared" si="13"/>
        <v>106218</v>
      </c>
      <c r="AM12" s="535">
        <f t="shared" si="13"/>
        <v>74396</v>
      </c>
      <c r="AN12" s="535">
        <f t="shared" si="13"/>
        <v>277148</v>
      </c>
      <c r="AO12" s="535">
        <f t="shared" si="13"/>
        <v>206190</v>
      </c>
      <c r="AP12" s="535">
        <f t="shared" si="13"/>
        <v>2622890</v>
      </c>
      <c r="AQ12" s="535">
        <f t="shared" si="13"/>
        <v>2625315</v>
      </c>
      <c r="AR12" s="535">
        <f t="shared" si="13"/>
        <v>7241377</v>
      </c>
      <c r="AS12" s="535">
        <f t="shared" si="13"/>
        <v>6662600</v>
      </c>
      <c r="AT12" s="535">
        <f t="shared" si="13"/>
        <v>3671470</v>
      </c>
      <c r="AU12" s="535">
        <f t="shared" si="13"/>
        <v>3772680</v>
      </c>
      <c r="AV12" s="535">
        <f t="shared" si="13"/>
        <v>10418040</v>
      </c>
      <c r="AW12" s="535">
        <f t="shared" si="13"/>
        <v>9566860</v>
      </c>
      <c r="AX12" s="535">
        <f t="shared" si="13"/>
        <v>266591</v>
      </c>
      <c r="AY12" s="535">
        <f t="shared" si="13"/>
        <v>228081</v>
      </c>
      <c r="AZ12" s="535">
        <f t="shared" si="13"/>
        <v>694485</v>
      </c>
      <c r="BA12" s="535">
        <f t="shared" si="13"/>
        <v>669851</v>
      </c>
      <c r="BB12" s="535">
        <f>SUM(BB9:BB11)</f>
        <v>268446</v>
      </c>
      <c r="BC12" s="535">
        <f t="shared" ref="BC12:BT12" si="14">SUM(BC9:BC11)</f>
        <v>230651</v>
      </c>
      <c r="BD12" s="535">
        <f t="shared" si="14"/>
        <v>713301</v>
      </c>
      <c r="BE12" s="535">
        <f t="shared" si="14"/>
        <v>580415</v>
      </c>
      <c r="BF12" s="535">
        <f t="shared" si="14"/>
        <v>1153265</v>
      </c>
      <c r="BG12" s="535">
        <f t="shared" si="14"/>
        <v>916207</v>
      </c>
      <c r="BH12" s="535">
        <f t="shared" si="14"/>
        <v>2624110</v>
      </c>
      <c r="BI12" s="535">
        <f t="shared" si="14"/>
        <v>2143994</v>
      </c>
      <c r="BJ12" s="535">
        <f t="shared" si="14"/>
        <v>2282074</v>
      </c>
      <c r="BK12" s="535">
        <f t="shared" si="14"/>
        <v>2152667</v>
      </c>
      <c r="BL12" s="535">
        <f t="shared" si="14"/>
        <v>5970546</v>
      </c>
      <c r="BM12" s="535">
        <f t="shared" si="14"/>
        <v>5385380</v>
      </c>
      <c r="BN12" s="535">
        <f t="shared" si="14"/>
        <v>631949</v>
      </c>
      <c r="BO12" s="535">
        <f t="shared" si="14"/>
        <v>561176</v>
      </c>
      <c r="BP12" s="535">
        <f t="shared" si="14"/>
        <v>1604023</v>
      </c>
      <c r="BQ12" s="535">
        <f t="shared" si="14"/>
        <v>1398865</v>
      </c>
      <c r="BR12" s="535">
        <f t="shared" si="14"/>
        <v>434095</v>
      </c>
      <c r="BS12" s="535">
        <f t="shared" si="14"/>
        <v>353329</v>
      </c>
      <c r="BT12" s="535">
        <f t="shared" si="14"/>
        <v>1192668</v>
      </c>
      <c r="BU12" s="535">
        <f>SUM(BU9:BU11)</f>
        <v>1059857</v>
      </c>
      <c r="BV12" s="535">
        <f>SUM(BV9:BV11)</f>
        <v>0</v>
      </c>
      <c r="BW12" s="535">
        <f t="shared" ref="BW12:BY12" si="15">SUM(BW9:BW11)</f>
        <v>0</v>
      </c>
      <c r="BX12" s="535">
        <f t="shared" si="15"/>
        <v>0</v>
      </c>
      <c r="BY12" s="535">
        <f t="shared" si="15"/>
        <v>0</v>
      </c>
      <c r="BZ12" s="554">
        <v>3791601</v>
      </c>
      <c r="CA12" s="555">
        <v>3123844</v>
      </c>
      <c r="CB12" s="555">
        <f>CB9</f>
        <v>8942951</v>
      </c>
      <c r="CC12" s="555">
        <f>CC9</f>
        <v>7449301</v>
      </c>
      <c r="CD12" s="555">
        <f>CD9</f>
        <v>221727</v>
      </c>
      <c r="CE12" s="555">
        <f t="shared" ref="CE12:CK12" si="16">CE9</f>
        <v>243958</v>
      </c>
      <c r="CF12" s="555">
        <f t="shared" si="16"/>
        <v>695060</v>
      </c>
      <c r="CG12" s="555">
        <f t="shared" si="16"/>
        <v>613514</v>
      </c>
      <c r="CH12" s="555">
        <f t="shared" si="16"/>
        <v>389414</v>
      </c>
      <c r="CI12" s="555">
        <f t="shared" si="16"/>
        <v>373307</v>
      </c>
      <c r="CJ12" s="555">
        <f t="shared" si="16"/>
        <v>933410</v>
      </c>
      <c r="CK12" s="555">
        <f t="shared" si="16"/>
        <v>880293</v>
      </c>
      <c r="CL12" s="555">
        <f>SUM(CL9:CL11)</f>
        <v>1345457</v>
      </c>
      <c r="CM12" s="555">
        <f t="shared" ref="CM12:CO12" si="17">SUM(CM9:CM11)</f>
        <v>801613</v>
      </c>
      <c r="CN12" s="555">
        <f t="shared" si="17"/>
        <v>3272989</v>
      </c>
      <c r="CO12" s="555">
        <f t="shared" si="17"/>
        <v>1996570</v>
      </c>
      <c r="CP12" s="552">
        <f t="shared" si="2"/>
        <v>20675939</v>
      </c>
      <c r="CQ12" s="552">
        <f t="shared" si="0"/>
        <v>17993489</v>
      </c>
      <c r="CR12" s="552">
        <f t="shared" si="0"/>
        <v>53710654</v>
      </c>
      <c r="CS12" s="552">
        <f t="shared" si="0"/>
        <v>44978742</v>
      </c>
      <c r="CT12" s="549">
        <f>SUM(CT9:CT11)</f>
        <v>45986334</v>
      </c>
      <c r="CU12" s="549">
        <f t="shared" ref="CU12:CW12" si="18">SUM(CU9:CU11)</f>
        <v>47419030</v>
      </c>
      <c r="CV12" s="549">
        <f t="shared" si="18"/>
        <v>128241918</v>
      </c>
      <c r="CW12" s="549">
        <f t="shared" si="18"/>
        <v>120727366</v>
      </c>
      <c r="CX12" s="370">
        <f t="shared" si="3"/>
        <v>66662273</v>
      </c>
      <c r="CY12" s="370">
        <f t="shared" si="1"/>
        <v>65412519</v>
      </c>
      <c r="CZ12" s="370">
        <f t="shared" si="1"/>
        <v>181952572</v>
      </c>
      <c r="DA12" s="370">
        <f t="shared" si="1"/>
        <v>165706108</v>
      </c>
    </row>
    <row r="13" spans="1:105" ht="14.25" x14ac:dyDescent="0.3">
      <c r="A13" s="553" t="s">
        <v>75</v>
      </c>
      <c r="B13" s="532"/>
      <c r="C13" s="533"/>
      <c r="D13" s="533"/>
      <c r="E13" s="534"/>
      <c r="F13" s="535"/>
      <c r="G13" s="536"/>
      <c r="H13" s="536"/>
      <c r="I13" s="537"/>
      <c r="J13" s="535"/>
      <c r="K13" s="536"/>
      <c r="L13" s="536"/>
      <c r="M13" s="537"/>
      <c r="N13" s="535"/>
      <c r="O13" s="536"/>
      <c r="P13" s="536"/>
      <c r="Q13" s="537"/>
      <c r="R13" s="535"/>
      <c r="S13" s="536"/>
      <c r="T13" s="536"/>
      <c r="U13" s="537"/>
      <c r="V13" s="535"/>
      <c r="W13" s="536"/>
      <c r="X13" s="536"/>
      <c r="Y13" s="537"/>
      <c r="Z13" s="535"/>
      <c r="AA13" s="536"/>
      <c r="AB13" s="536"/>
      <c r="AC13" s="537"/>
      <c r="AD13" s="535"/>
      <c r="AE13" s="536"/>
      <c r="AF13" s="536"/>
      <c r="AG13" s="537"/>
      <c r="AH13" s="535"/>
      <c r="AI13" s="536"/>
      <c r="AJ13" s="536"/>
      <c r="AK13" s="537"/>
      <c r="AL13" s="535"/>
      <c r="AM13" s="536"/>
      <c r="AN13" s="536"/>
      <c r="AO13" s="537"/>
      <c r="AP13" s="535"/>
      <c r="AQ13" s="536"/>
      <c r="AR13" s="536"/>
      <c r="AS13" s="537"/>
      <c r="AT13" s="535"/>
      <c r="AU13" s="536"/>
      <c r="AV13" s="536"/>
      <c r="AW13" s="537"/>
      <c r="AX13" s="535"/>
      <c r="AY13" s="536"/>
      <c r="AZ13" s="536"/>
      <c r="BA13" s="537"/>
      <c r="BB13" s="535"/>
      <c r="BC13" s="536"/>
      <c r="BD13" s="536"/>
      <c r="BE13" s="537"/>
      <c r="BF13" s="535"/>
      <c r="BG13" s="536"/>
      <c r="BH13" s="536"/>
      <c r="BI13" s="537"/>
      <c r="BJ13" s="535"/>
      <c r="BK13" s="536"/>
      <c r="BL13" s="536"/>
      <c r="BM13" s="537"/>
      <c r="BN13" s="535"/>
      <c r="BO13" s="536"/>
      <c r="BP13" s="536"/>
      <c r="BQ13" s="537"/>
      <c r="BR13" s="535"/>
      <c r="BS13" s="536"/>
      <c r="BT13" s="536"/>
      <c r="BU13" s="537"/>
      <c r="BV13" s="542"/>
      <c r="BW13" s="522"/>
      <c r="BX13" s="522"/>
      <c r="BY13" s="523"/>
      <c r="BZ13" s="561"/>
      <c r="CA13" s="522"/>
      <c r="CB13" s="522"/>
      <c r="CC13" s="523"/>
      <c r="CD13" s="546"/>
      <c r="CE13" s="547"/>
      <c r="CF13" s="547"/>
      <c r="CG13" s="548"/>
      <c r="CH13" s="549"/>
      <c r="CI13" s="550"/>
      <c r="CJ13" s="550"/>
      <c r="CK13" s="551"/>
      <c r="CL13" s="535"/>
      <c r="CM13" s="536"/>
      <c r="CN13" s="536"/>
      <c r="CO13" s="537"/>
      <c r="CP13" s="552">
        <f t="shared" si="2"/>
        <v>0</v>
      </c>
      <c r="CQ13" s="552">
        <f t="shared" si="0"/>
        <v>0</v>
      </c>
      <c r="CR13" s="552">
        <f t="shared" si="0"/>
        <v>0</v>
      </c>
      <c r="CS13" s="552">
        <f t="shared" si="0"/>
        <v>0</v>
      </c>
      <c r="CT13" s="549"/>
      <c r="CU13" s="550"/>
      <c r="CV13" s="550"/>
      <c r="CW13" s="551"/>
      <c r="CX13" s="370">
        <f t="shared" si="3"/>
        <v>0</v>
      </c>
      <c r="CY13" s="370">
        <f t="shared" si="1"/>
        <v>0</v>
      </c>
      <c r="CZ13" s="370">
        <f t="shared" si="1"/>
        <v>0</v>
      </c>
      <c r="DA13" s="370">
        <f t="shared" si="1"/>
        <v>0</v>
      </c>
    </row>
    <row r="14" spans="1:105" ht="14.25" x14ac:dyDescent="0.3">
      <c r="A14" s="553" t="s">
        <v>76</v>
      </c>
      <c r="B14" s="532"/>
      <c r="C14" s="533"/>
      <c r="D14" s="533"/>
      <c r="E14" s="534"/>
      <c r="F14" s="535"/>
      <c r="G14" s="536"/>
      <c r="H14" s="536"/>
      <c r="I14" s="537"/>
      <c r="J14" s="535"/>
      <c r="K14" s="536"/>
      <c r="L14" s="536"/>
      <c r="M14" s="537"/>
      <c r="N14" s="535"/>
      <c r="O14" s="536"/>
      <c r="P14" s="536"/>
      <c r="Q14" s="537"/>
      <c r="R14" s="535"/>
      <c r="S14" s="536"/>
      <c r="T14" s="536"/>
      <c r="U14" s="537"/>
      <c r="V14" s="535"/>
      <c r="W14" s="536"/>
      <c r="X14" s="536"/>
      <c r="Y14" s="537"/>
      <c r="Z14" s="535"/>
      <c r="AA14" s="536"/>
      <c r="AB14" s="536"/>
      <c r="AC14" s="537"/>
      <c r="AD14" s="535"/>
      <c r="AE14" s="536"/>
      <c r="AF14" s="536"/>
      <c r="AG14" s="537"/>
      <c r="AH14" s="535"/>
      <c r="AI14" s="536"/>
      <c r="AJ14" s="536"/>
      <c r="AK14" s="537"/>
      <c r="AL14" s="535"/>
      <c r="AM14" s="536"/>
      <c r="AN14" s="536"/>
      <c r="AO14" s="537"/>
      <c r="AP14" s="535"/>
      <c r="AQ14" s="536"/>
      <c r="AR14" s="536"/>
      <c r="AS14" s="537"/>
      <c r="AT14" s="535"/>
      <c r="AU14" s="536"/>
      <c r="AV14" s="536"/>
      <c r="AW14" s="537"/>
      <c r="AX14" s="535"/>
      <c r="AY14" s="536"/>
      <c r="AZ14" s="536"/>
      <c r="BA14" s="537"/>
      <c r="BB14" s="535"/>
      <c r="BC14" s="536"/>
      <c r="BD14" s="536"/>
      <c r="BE14" s="537"/>
      <c r="BF14" s="535"/>
      <c r="BG14" s="536"/>
      <c r="BH14" s="536"/>
      <c r="BI14" s="537"/>
      <c r="BJ14" s="535"/>
      <c r="BK14" s="536"/>
      <c r="BL14" s="536"/>
      <c r="BM14" s="537"/>
      <c r="BN14" s="535"/>
      <c r="BO14" s="536"/>
      <c r="BP14" s="536"/>
      <c r="BQ14" s="537"/>
      <c r="BR14" s="535"/>
      <c r="BS14" s="536"/>
      <c r="BT14" s="536"/>
      <c r="BU14" s="537"/>
      <c r="BV14" s="542"/>
      <c r="BW14" s="522"/>
      <c r="BX14" s="522"/>
      <c r="BY14" s="523"/>
      <c r="BZ14" s="561"/>
      <c r="CA14" s="522"/>
      <c r="CB14" s="522"/>
      <c r="CC14" s="523"/>
      <c r="CD14" s="546"/>
      <c r="CE14" s="547"/>
      <c r="CF14" s="547"/>
      <c r="CG14" s="548"/>
      <c r="CH14" s="549"/>
      <c r="CI14" s="550"/>
      <c r="CJ14" s="550"/>
      <c r="CK14" s="551"/>
      <c r="CL14" s="535"/>
      <c r="CM14" s="536"/>
      <c r="CN14" s="536"/>
      <c r="CO14" s="537"/>
      <c r="CP14" s="552">
        <f t="shared" si="2"/>
        <v>0</v>
      </c>
      <c r="CQ14" s="552">
        <f t="shared" si="0"/>
        <v>0</v>
      </c>
      <c r="CR14" s="552">
        <f t="shared" si="0"/>
        <v>0</v>
      </c>
      <c r="CS14" s="552">
        <f t="shared" si="0"/>
        <v>0</v>
      </c>
      <c r="CT14" s="549"/>
      <c r="CU14" s="550"/>
      <c r="CV14" s="550"/>
      <c r="CW14" s="551"/>
      <c r="CX14" s="370">
        <f t="shared" si="3"/>
        <v>0</v>
      </c>
      <c r="CY14" s="370">
        <f t="shared" si="1"/>
        <v>0</v>
      </c>
      <c r="CZ14" s="370">
        <f t="shared" si="1"/>
        <v>0</v>
      </c>
      <c r="DA14" s="370">
        <f t="shared" si="1"/>
        <v>0</v>
      </c>
    </row>
    <row r="15" spans="1:105" ht="14.25" x14ac:dyDescent="0.3">
      <c r="A15" s="524" t="s">
        <v>77</v>
      </c>
      <c r="B15" s="525">
        <v>494424</v>
      </c>
      <c r="C15" s="526">
        <v>462509</v>
      </c>
      <c r="D15" s="526">
        <v>1287143</v>
      </c>
      <c r="E15" s="527">
        <v>138009</v>
      </c>
      <c r="F15" s="552">
        <v>2532</v>
      </c>
      <c r="G15" s="556">
        <v>3957</v>
      </c>
      <c r="H15" s="556">
        <v>8035</v>
      </c>
      <c r="I15" s="557">
        <v>8856</v>
      </c>
      <c r="J15" s="552">
        <v>27651</v>
      </c>
      <c r="K15" s="556">
        <v>59405</v>
      </c>
      <c r="L15" s="556">
        <v>101467</v>
      </c>
      <c r="M15" s="557">
        <v>144340</v>
      </c>
      <c r="N15" s="552">
        <v>561952</v>
      </c>
      <c r="O15" s="556">
        <v>387988</v>
      </c>
      <c r="P15" s="556">
        <v>1418667</v>
      </c>
      <c r="Q15" s="557">
        <v>1044753</v>
      </c>
      <c r="R15" s="552">
        <v>173849</v>
      </c>
      <c r="S15" s="556">
        <v>137008</v>
      </c>
      <c r="T15" s="556">
        <v>434545</v>
      </c>
      <c r="U15" s="557">
        <v>319647</v>
      </c>
      <c r="V15" s="552"/>
      <c r="W15" s="556"/>
      <c r="X15" s="556"/>
      <c r="Y15" s="557"/>
      <c r="Z15" s="552">
        <v>70058</v>
      </c>
      <c r="AA15" s="556">
        <v>74775</v>
      </c>
      <c r="AB15" s="556">
        <v>205854</v>
      </c>
      <c r="AC15" s="557">
        <v>178213</v>
      </c>
      <c r="AD15" s="552">
        <v>106942</v>
      </c>
      <c r="AE15" s="556">
        <v>64192</v>
      </c>
      <c r="AF15" s="556">
        <v>240410</v>
      </c>
      <c r="AG15" s="557">
        <v>158077</v>
      </c>
      <c r="AH15" s="552">
        <v>261947</v>
      </c>
      <c r="AI15" s="556">
        <v>228619</v>
      </c>
      <c r="AJ15" s="556">
        <v>781143</v>
      </c>
      <c r="AK15" s="557">
        <v>654577</v>
      </c>
      <c r="AL15" s="552">
        <v>34909</v>
      </c>
      <c r="AM15" s="556">
        <v>44461</v>
      </c>
      <c r="AN15" s="556">
        <v>102978</v>
      </c>
      <c r="AO15" s="557">
        <v>99360</v>
      </c>
      <c r="AP15" s="552">
        <v>389574</v>
      </c>
      <c r="AQ15" s="556">
        <v>315627</v>
      </c>
      <c r="AR15" s="556">
        <v>1096513</v>
      </c>
      <c r="AS15" s="557">
        <v>885118</v>
      </c>
      <c r="AT15" s="556">
        <v>773417</v>
      </c>
      <c r="AU15" s="556">
        <v>815253</v>
      </c>
      <c r="AV15" s="556">
        <v>2192239</v>
      </c>
      <c r="AW15" s="557">
        <v>2155900</v>
      </c>
      <c r="AX15" s="539">
        <v>20387</v>
      </c>
      <c r="AY15" s="540">
        <v>17383</v>
      </c>
      <c r="AZ15" s="540">
        <v>64073</v>
      </c>
      <c r="BA15" s="541">
        <v>57204</v>
      </c>
      <c r="BB15" s="552">
        <v>10781</v>
      </c>
      <c r="BC15" s="556">
        <v>8692</v>
      </c>
      <c r="BD15" s="556">
        <v>30722</v>
      </c>
      <c r="BE15" s="557">
        <v>24538</v>
      </c>
      <c r="BF15" s="558">
        <v>588378</v>
      </c>
      <c r="BG15" s="559">
        <v>446446</v>
      </c>
      <c r="BH15" s="559">
        <v>1403722</v>
      </c>
      <c r="BI15" s="560">
        <v>1111708</v>
      </c>
      <c r="BJ15" s="552">
        <v>634938</v>
      </c>
      <c r="BK15" s="556">
        <v>582231</v>
      </c>
      <c r="BL15" s="556">
        <v>2770381</v>
      </c>
      <c r="BM15" s="557">
        <v>1697669</v>
      </c>
      <c r="BN15" s="552">
        <v>55265</v>
      </c>
      <c r="BO15" s="556">
        <v>50881</v>
      </c>
      <c r="BP15" s="556">
        <v>156726</v>
      </c>
      <c r="BQ15" s="557">
        <v>150618</v>
      </c>
      <c r="BR15" s="552">
        <v>300243</v>
      </c>
      <c r="BS15" s="556">
        <v>293143</v>
      </c>
      <c r="BT15" s="556">
        <v>849890</v>
      </c>
      <c r="BU15" s="557">
        <v>884557</v>
      </c>
      <c r="BV15" s="542"/>
      <c r="BW15" s="522"/>
      <c r="BX15" s="522"/>
      <c r="BY15" s="523"/>
      <c r="BZ15" s="543">
        <v>1321078</v>
      </c>
      <c r="CA15" s="544">
        <v>1152775</v>
      </c>
      <c r="CB15" s="544">
        <v>3261467</v>
      </c>
      <c r="CC15" s="545">
        <v>2840322</v>
      </c>
      <c r="CD15" s="546">
        <v>48515</v>
      </c>
      <c r="CE15" s="547">
        <v>47899</v>
      </c>
      <c r="CF15" s="547">
        <v>120992</v>
      </c>
      <c r="CG15" s="548">
        <v>131155</v>
      </c>
      <c r="CH15" s="549">
        <v>3889</v>
      </c>
      <c r="CI15" s="550">
        <v>6213</v>
      </c>
      <c r="CJ15" s="550">
        <v>10030</v>
      </c>
      <c r="CK15" s="551">
        <v>15664</v>
      </c>
      <c r="CL15" s="552">
        <v>584712</v>
      </c>
      <c r="CM15" s="556">
        <v>401591</v>
      </c>
      <c r="CN15" s="556">
        <v>1321929</v>
      </c>
      <c r="CO15" s="557">
        <v>934634</v>
      </c>
      <c r="CP15" s="552">
        <f t="shared" si="2"/>
        <v>6465441</v>
      </c>
      <c r="CQ15" s="552">
        <f t="shared" si="0"/>
        <v>5601048</v>
      </c>
      <c r="CR15" s="552">
        <f t="shared" si="0"/>
        <v>17858926</v>
      </c>
      <c r="CS15" s="552">
        <f t="shared" si="0"/>
        <v>13634919</v>
      </c>
      <c r="CT15" s="552">
        <v>45652769</v>
      </c>
      <c r="CU15" s="556">
        <v>90549766</v>
      </c>
      <c r="CV15" s="556">
        <v>127487386</v>
      </c>
      <c r="CW15" s="557">
        <v>120051679</v>
      </c>
      <c r="CX15" s="370">
        <f t="shared" si="3"/>
        <v>52118210</v>
      </c>
      <c r="CY15" s="370">
        <f t="shared" si="1"/>
        <v>96150814</v>
      </c>
      <c r="CZ15" s="370">
        <f t="shared" si="1"/>
        <v>145346312</v>
      </c>
      <c r="DA15" s="370">
        <f t="shared" si="1"/>
        <v>133686598</v>
      </c>
    </row>
    <row r="16" spans="1:105" ht="14.25" x14ac:dyDescent="0.3">
      <c r="A16" s="524" t="s">
        <v>11</v>
      </c>
      <c r="B16" s="532">
        <v>73122</v>
      </c>
      <c r="C16" s="533">
        <v>47709</v>
      </c>
      <c r="D16" s="533">
        <v>178278</v>
      </c>
      <c r="E16" s="534">
        <v>394499</v>
      </c>
      <c r="F16" s="535">
        <v>1498</v>
      </c>
      <c r="G16" s="536">
        <v>1462</v>
      </c>
      <c r="H16" s="536">
        <v>5277</v>
      </c>
      <c r="I16" s="537">
        <v>1300</v>
      </c>
      <c r="J16" s="535">
        <v>43</v>
      </c>
      <c r="K16" s="536">
        <v>4761</v>
      </c>
      <c r="L16" s="536">
        <v>16429</v>
      </c>
      <c r="M16" s="537">
        <v>11732</v>
      </c>
      <c r="N16" s="535">
        <v>41057</v>
      </c>
      <c r="O16" s="536">
        <v>16062</v>
      </c>
      <c r="P16" s="536">
        <v>99765</v>
      </c>
      <c r="Q16" s="537">
        <v>36567</v>
      </c>
      <c r="R16" s="535">
        <v>207658</v>
      </c>
      <c r="S16" s="536">
        <v>157191</v>
      </c>
      <c r="T16" s="536">
        <v>554468</v>
      </c>
      <c r="U16" s="537">
        <v>394567</v>
      </c>
      <c r="V16" s="535">
        <v>320</v>
      </c>
      <c r="W16" s="536"/>
      <c r="X16" s="536">
        <v>879</v>
      </c>
      <c r="Y16" s="537"/>
      <c r="Z16" s="535">
        <v>19951</v>
      </c>
      <c r="AA16" s="536">
        <v>16759</v>
      </c>
      <c r="AB16" s="536">
        <v>69157</v>
      </c>
      <c r="AC16" s="537">
        <v>33776</v>
      </c>
      <c r="AD16" s="535">
        <v>7108</v>
      </c>
      <c r="AE16" s="536">
        <v>6165</v>
      </c>
      <c r="AF16" s="536">
        <v>18793</v>
      </c>
      <c r="AG16" s="537">
        <v>10609</v>
      </c>
      <c r="AH16" s="535">
        <v>123701</v>
      </c>
      <c r="AI16" s="536">
        <v>86924</v>
      </c>
      <c r="AJ16" s="536">
        <v>296654</v>
      </c>
      <c r="AK16" s="537">
        <v>247623</v>
      </c>
      <c r="AL16" s="535">
        <v>12832</v>
      </c>
      <c r="AM16" s="536">
        <v>15018</v>
      </c>
      <c r="AN16" s="536">
        <v>25387</v>
      </c>
      <c r="AO16" s="537">
        <v>63219</v>
      </c>
      <c r="AP16" s="535">
        <v>155131</v>
      </c>
      <c r="AQ16" s="536">
        <v>120745</v>
      </c>
      <c r="AR16" s="536">
        <v>414290</v>
      </c>
      <c r="AS16" s="537">
        <v>375560</v>
      </c>
      <c r="AT16" s="536">
        <v>2693597</v>
      </c>
      <c r="AU16" s="536">
        <v>2810996</v>
      </c>
      <c r="AV16" s="536">
        <v>7671679</v>
      </c>
      <c r="AW16" s="537">
        <v>7003484</v>
      </c>
      <c r="AX16" s="539">
        <v>84</v>
      </c>
      <c r="AY16" s="540">
        <v>5539</v>
      </c>
      <c r="AZ16" s="540">
        <v>3506</v>
      </c>
      <c r="BA16" s="541">
        <v>11707</v>
      </c>
      <c r="BB16" s="535">
        <v>14078</v>
      </c>
      <c r="BC16" s="536">
        <v>7498</v>
      </c>
      <c r="BD16" s="536">
        <v>51704</v>
      </c>
      <c r="BE16" s="537">
        <v>15012</v>
      </c>
      <c r="BF16" s="535">
        <v>40210</v>
      </c>
      <c r="BG16" s="536">
        <v>46158</v>
      </c>
      <c r="BH16" s="536">
        <v>126121</v>
      </c>
      <c r="BI16" s="537">
        <v>125103</v>
      </c>
      <c r="BJ16" s="535">
        <v>3445</v>
      </c>
      <c r="BK16" s="536">
        <v>4057</v>
      </c>
      <c r="BL16" s="536">
        <v>8040</v>
      </c>
      <c r="BM16" s="537">
        <v>8653</v>
      </c>
      <c r="BN16" s="535">
        <v>17607</v>
      </c>
      <c r="BO16" s="536">
        <v>7474</v>
      </c>
      <c r="BP16" s="536">
        <v>46649</v>
      </c>
      <c r="BQ16" s="537">
        <v>25945</v>
      </c>
      <c r="BR16" s="535">
        <v>71938</v>
      </c>
      <c r="BS16" s="536">
        <v>42834</v>
      </c>
      <c r="BT16" s="536">
        <v>191420</v>
      </c>
      <c r="BU16" s="537">
        <v>121844</v>
      </c>
      <c r="BV16" s="542"/>
      <c r="BW16" s="522"/>
      <c r="BX16" s="522"/>
      <c r="BY16" s="523"/>
      <c r="BZ16" s="543">
        <v>11288</v>
      </c>
      <c r="CA16" s="544">
        <v>11063</v>
      </c>
      <c r="CB16" s="544">
        <v>26151</v>
      </c>
      <c r="CC16" s="545">
        <v>27205</v>
      </c>
      <c r="CD16" s="546">
        <v>17236</v>
      </c>
      <c r="CE16" s="547">
        <v>11918</v>
      </c>
      <c r="CF16" s="547">
        <v>39899</v>
      </c>
      <c r="CG16" s="548">
        <v>27222</v>
      </c>
      <c r="CH16" s="549">
        <v>255</v>
      </c>
      <c r="CI16" s="550">
        <v>263</v>
      </c>
      <c r="CJ16" s="550">
        <v>2220</v>
      </c>
      <c r="CK16" s="551">
        <v>1915</v>
      </c>
      <c r="CL16" s="535">
        <v>102885</v>
      </c>
      <c r="CM16" s="536">
        <v>88120</v>
      </c>
      <c r="CN16" s="536">
        <v>272649</v>
      </c>
      <c r="CO16" s="537">
        <v>248873</v>
      </c>
      <c r="CP16" s="552">
        <f t="shared" si="2"/>
        <v>3615044</v>
      </c>
      <c r="CQ16" s="552">
        <f t="shared" si="0"/>
        <v>3508716</v>
      </c>
      <c r="CR16" s="552">
        <f t="shared" si="0"/>
        <v>10119415</v>
      </c>
      <c r="CS16" s="552">
        <f t="shared" si="0"/>
        <v>9186415</v>
      </c>
      <c r="CT16" s="535">
        <v>4113</v>
      </c>
      <c r="CU16" s="536">
        <v>11478</v>
      </c>
      <c r="CV16" s="536">
        <v>12714</v>
      </c>
      <c r="CW16" s="537">
        <v>16029</v>
      </c>
      <c r="CX16" s="370">
        <f t="shared" si="3"/>
        <v>3619157</v>
      </c>
      <c r="CY16" s="370">
        <f t="shared" si="1"/>
        <v>3520194</v>
      </c>
      <c r="CZ16" s="370">
        <f t="shared" si="1"/>
        <v>10132129</v>
      </c>
      <c r="DA16" s="370">
        <f t="shared" si="1"/>
        <v>9202444</v>
      </c>
    </row>
    <row r="17" spans="1:105" ht="14.25" x14ac:dyDescent="0.3">
      <c r="A17" s="524" t="s">
        <v>78</v>
      </c>
      <c r="B17" s="532">
        <v>551699</v>
      </c>
      <c r="C17" s="533">
        <v>175109</v>
      </c>
      <c r="D17" s="533">
        <v>1087956</v>
      </c>
      <c r="E17" s="534">
        <v>1130872</v>
      </c>
      <c r="F17" s="535">
        <v>3597</v>
      </c>
      <c r="G17" s="536">
        <v>7644</v>
      </c>
      <c r="H17" s="536">
        <v>10421</v>
      </c>
      <c r="I17" s="537">
        <v>24468</v>
      </c>
      <c r="J17" s="535">
        <v>-586</v>
      </c>
      <c r="K17" s="536">
        <v>7837</v>
      </c>
      <c r="L17" s="536">
        <v>39193</v>
      </c>
      <c r="M17" s="537">
        <v>32100</v>
      </c>
      <c r="N17" s="535">
        <v>165237</v>
      </c>
      <c r="O17" s="536">
        <v>58967</v>
      </c>
      <c r="P17" s="536">
        <v>390504</v>
      </c>
      <c r="Q17" s="537">
        <v>158610</v>
      </c>
      <c r="R17" s="535">
        <v>48937</v>
      </c>
      <c r="S17" s="536">
        <v>21693</v>
      </c>
      <c r="T17" s="536">
        <v>140956</v>
      </c>
      <c r="U17" s="537">
        <v>41774</v>
      </c>
      <c r="V17" s="535"/>
      <c r="W17" s="536"/>
      <c r="X17" s="536"/>
      <c r="Y17" s="537"/>
      <c r="Z17" s="535">
        <v>35617</v>
      </c>
      <c r="AA17" s="536">
        <v>110455</v>
      </c>
      <c r="AB17" s="536">
        <v>348152</v>
      </c>
      <c r="AC17" s="537">
        <v>186847</v>
      </c>
      <c r="AD17" s="535">
        <v>26864</v>
      </c>
      <c r="AE17" s="536">
        <v>17971</v>
      </c>
      <c r="AF17" s="536">
        <v>65044</v>
      </c>
      <c r="AG17" s="537">
        <v>43365</v>
      </c>
      <c r="AH17" s="535">
        <v>30546</v>
      </c>
      <c r="AI17" s="536">
        <v>28179</v>
      </c>
      <c r="AJ17" s="536">
        <v>79885</v>
      </c>
      <c r="AK17" s="537">
        <v>76058</v>
      </c>
      <c r="AL17" s="535">
        <v>58477</v>
      </c>
      <c r="AM17" s="536">
        <v>14917</v>
      </c>
      <c r="AN17" s="536">
        <v>148783</v>
      </c>
      <c r="AO17" s="537">
        <v>43598</v>
      </c>
      <c r="AP17" s="535">
        <v>2074414</v>
      </c>
      <c r="AQ17" s="536">
        <v>2184988</v>
      </c>
      <c r="AR17" s="536">
        <v>5721247</v>
      </c>
      <c r="AS17" s="537">
        <v>5394355</v>
      </c>
      <c r="AT17" s="536">
        <v>180699</v>
      </c>
      <c r="AU17" s="536">
        <v>143973</v>
      </c>
      <c r="AV17" s="536">
        <v>504140</v>
      </c>
      <c r="AW17" s="537">
        <v>404138</v>
      </c>
      <c r="AX17" s="539">
        <v>246121</v>
      </c>
      <c r="AY17" s="540">
        <v>205159</v>
      </c>
      <c r="AZ17" s="540">
        <v>626907</v>
      </c>
      <c r="BA17" s="541">
        <v>600940</v>
      </c>
      <c r="BB17" s="535">
        <v>243235</v>
      </c>
      <c r="BC17" s="536">
        <v>214014</v>
      </c>
      <c r="BD17" s="536">
        <v>629454</v>
      </c>
      <c r="BE17" s="537">
        <v>540200</v>
      </c>
      <c r="BF17" s="535">
        <v>524577</v>
      </c>
      <c r="BG17" s="536">
        <v>423603</v>
      </c>
      <c r="BH17" s="536">
        <v>1093899</v>
      </c>
      <c r="BI17" s="537">
        <v>907183</v>
      </c>
      <c r="BJ17" s="535">
        <v>68484</v>
      </c>
      <c r="BK17" s="536">
        <v>55465</v>
      </c>
      <c r="BL17" s="536">
        <v>129306</v>
      </c>
      <c r="BM17" s="537">
        <v>127962</v>
      </c>
      <c r="BN17" s="535">
        <v>559171</v>
      </c>
      <c r="BO17" s="536">
        <v>502897</v>
      </c>
      <c r="BP17" s="536">
        <v>1401117</v>
      </c>
      <c r="BQ17" s="537">
        <v>1222410</v>
      </c>
      <c r="BR17" s="535">
        <v>61914</v>
      </c>
      <c r="BS17" s="536">
        <v>17352</v>
      </c>
      <c r="BT17" s="536">
        <v>151358</v>
      </c>
      <c r="BU17" s="537">
        <v>53456</v>
      </c>
      <c r="BV17" s="542"/>
      <c r="BW17" s="522"/>
      <c r="BX17" s="522"/>
      <c r="BY17" s="523"/>
      <c r="BZ17" s="543">
        <v>30976</v>
      </c>
      <c r="CA17" s="544">
        <v>25772</v>
      </c>
      <c r="CB17" s="544">
        <v>81035</v>
      </c>
      <c r="CC17" s="545">
        <v>69609</v>
      </c>
      <c r="CD17" s="546">
        <v>185976</v>
      </c>
      <c r="CE17" s="547">
        <v>184142</v>
      </c>
      <c r="CF17" s="547">
        <v>534169</v>
      </c>
      <c r="CG17" s="548">
        <v>455137</v>
      </c>
      <c r="CH17" s="549"/>
      <c r="CI17" s="550"/>
      <c r="CJ17" s="550"/>
      <c r="CK17" s="551"/>
      <c r="CL17" s="535">
        <v>11035</v>
      </c>
      <c r="CM17" s="536">
        <v>2223</v>
      </c>
      <c r="CN17" s="536">
        <v>15546</v>
      </c>
      <c r="CO17" s="537">
        <v>7742</v>
      </c>
      <c r="CP17" s="552">
        <f t="shared" si="2"/>
        <v>5106990</v>
      </c>
      <c r="CQ17" s="552">
        <f t="shared" si="0"/>
        <v>4402360</v>
      </c>
      <c r="CR17" s="552">
        <f t="shared" si="0"/>
        <v>13199072</v>
      </c>
      <c r="CS17" s="552">
        <f t="shared" si="0"/>
        <v>11520824</v>
      </c>
      <c r="CT17" s="535">
        <v>34213</v>
      </c>
      <c r="CU17" s="536">
        <v>76453</v>
      </c>
      <c r="CV17" s="536">
        <v>103550</v>
      </c>
      <c r="CW17" s="537">
        <v>98668</v>
      </c>
      <c r="CX17" s="370">
        <f t="shared" si="3"/>
        <v>5141203</v>
      </c>
      <c r="CY17" s="370">
        <f t="shared" si="1"/>
        <v>4478813</v>
      </c>
      <c r="CZ17" s="370">
        <f t="shared" si="1"/>
        <v>13302622</v>
      </c>
      <c r="DA17" s="370">
        <f t="shared" si="1"/>
        <v>11619492</v>
      </c>
    </row>
    <row r="18" spans="1:105" ht="14.25" x14ac:dyDescent="0.3">
      <c r="A18" s="524" t="s">
        <v>79</v>
      </c>
      <c r="B18" s="532"/>
      <c r="C18" s="533"/>
      <c r="D18" s="533"/>
      <c r="E18" s="534"/>
      <c r="F18" s="535"/>
      <c r="G18" s="536"/>
      <c r="H18" s="536"/>
      <c r="I18" s="537"/>
      <c r="J18" s="535"/>
      <c r="K18" s="536"/>
      <c r="L18" s="536"/>
      <c r="M18" s="537"/>
      <c r="N18" s="535"/>
      <c r="O18" s="536"/>
      <c r="P18" s="536"/>
      <c r="Q18" s="537"/>
      <c r="R18" s="535"/>
      <c r="S18" s="536"/>
      <c r="T18" s="536"/>
      <c r="U18" s="537"/>
      <c r="V18" s="535">
        <v>415244</v>
      </c>
      <c r="W18" s="536">
        <v>336470</v>
      </c>
      <c r="X18" s="536">
        <v>1130250</v>
      </c>
      <c r="Y18" s="537">
        <v>847539</v>
      </c>
      <c r="Z18" s="535">
        <v>11703</v>
      </c>
      <c r="AA18" s="536"/>
      <c r="AB18" s="536">
        <v>25633</v>
      </c>
      <c r="AC18" s="537"/>
      <c r="AD18" s="535"/>
      <c r="AE18" s="536"/>
      <c r="AF18" s="536"/>
      <c r="AG18" s="537"/>
      <c r="AH18" s="535">
        <v>22942</v>
      </c>
      <c r="AI18" s="536">
        <v>7941</v>
      </c>
      <c r="AJ18" s="536">
        <v>53882</v>
      </c>
      <c r="AK18" s="537">
        <v>26973</v>
      </c>
      <c r="AL18" s="535"/>
      <c r="AM18" s="536"/>
      <c r="AN18" s="536"/>
      <c r="AO18" s="537"/>
      <c r="AP18" s="535"/>
      <c r="AQ18" s="536"/>
      <c r="AR18" s="536"/>
      <c r="AS18" s="537"/>
      <c r="AT18" s="535"/>
      <c r="AU18" s="536"/>
      <c r="AV18" s="536"/>
      <c r="AW18" s="537"/>
      <c r="AX18" s="539"/>
      <c r="AY18" s="540"/>
      <c r="AZ18" s="540"/>
      <c r="BA18" s="541"/>
      <c r="BB18" s="535"/>
      <c r="BC18" s="536"/>
      <c r="BD18" s="536"/>
      <c r="BE18" s="537"/>
      <c r="BF18" s="535"/>
      <c r="BG18" s="536"/>
      <c r="BH18" s="536"/>
      <c r="BI18" s="537"/>
      <c r="BJ18" s="535">
        <v>1575207</v>
      </c>
      <c r="BK18" s="536">
        <v>1510914</v>
      </c>
      <c r="BL18" s="536">
        <v>3062819</v>
      </c>
      <c r="BM18" s="537">
        <v>3551097</v>
      </c>
      <c r="BN18" s="535"/>
      <c r="BO18" s="536"/>
      <c r="BP18" s="536"/>
      <c r="BQ18" s="537"/>
      <c r="BR18" s="535"/>
      <c r="BS18" s="536"/>
      <c r="BT18" s="536"/>
      <c r="BU18" s="537"/>
      <c r="BV18" s="542"/>
      <c r="BW18" s="522"/>
      <c r="BX18" s="522"/>
      <c r="BY18" s="523"/>
      <c r="BZ18" s="543">
        <v>2427316</v>
      </c>
      <c r="CA18" s="544">
        <v>1933635</v>
      </c>
      <c r="CB18" s="544">
        <v>5572675</v>
      </c>
      <c r="CC18" s="545">
        <v>4511251</v>
      </c>
      <c r="CD18" s="546"/>
      <c r="CE18" s="547"/>
      <c r="CF18" s="547"/>
      <c r="CG18" s="548"/>
      <c r="CH18" s="549">
        <v>385270</v>
      </c>
      <c r="CI18" s="550">
        <v>366831</v>
      </c>
      <c r="CJ18" s="550">
        <v>921160</v>
      </c>
      <c r="CK18" s="551">
        <v>862714</v>
      </c>
      <c r="CL18" s="535">
        <v>648463</v>
      </c>
      <c r="CM18" s="536">
        <v>315079</v>
      </c>
      <c r="CN18" s="536">
        <v>1662225</v>
      </c>
      <c r="CO18" s="537">
        <v>808145</v>
      </c>
      <c r="CP18" s="552">
        <f t="shared" si="2"/>
        <v>5486145</v>
      </c>
      <c r="CQ18" s="552">
        <f t="shared" si="0"/>
        <v>4470870</v>
      </c>
      <c r="CR18" s="552">
        <f t="shared" si="0"/>
        <v>12428644</v>
      </c>
      <c r="CS18" s="552">
        <f t="shared" si="0"/>
        <v>10607719</v>
      </c>
      <c r="CT18" s="535">
        <v>293927</v>
      </c>
      <c r="CU18" s="536">
        <v>445265</v>
      </c>
      <c r="CV18" s="536">
        <v>634877</v>
      </c>
      <c r="CW18" s="537">
        <v>559458</v>
      </c>
      <c r="CX18" s="370">
        <f t="shared" si="3"/>
        <v>5780072</v>
      </c>
      <c r="CY18" s="370">
        <f t="shared" si="1"/>
        <v>4916135</v>
      </c>
      <c r="CZ18" s="370">
        <f t="shared" si="1"/>
        <v>13063521</v>
      </c>
      <c r="DA18" s="370">
        <f t="shared" si="1"/>
        <v>11167177</v>
      </c>
    </row>
    <row r="19" spans="1:105" ht="14.25" x14ac:dyDescent="0.3">
      <c r="A19" s="524" t="s">
        <v>80</v>
      </c>
      <c r="B19" s="532"/>
      <c r="C19" s="533"/>
      <c r="D19" s="533"/>
      <c r="E19" s="534"/>
      <c r="F19" s="535"/>
      <c r="G19" s="536"/>
      <c r="H19" s="536"/>
      <c r="I19" s="537"/>
      <c r="J19" s="535"/>
      <c r="K19" s="536"/>
      <c r="L19" s="536"/>
      <c r="M19" s="537"/>
      <c r="N19" s="535">
        <v>4133</v>
      </c>
      <c r="O19" s="536"/>
      <c r="P19" s="536">
        <v>10664</v>
      </c>
      <c r="Q19" s="537"/>
      <c r="R19" s="535"/>
      <c r="S19" s="536"/>
      <c r="T19" s="536"/>
      <c r="U19" s="537"/>
      <c r="V19" s="535"/>
      <c r="W19" s="536"/>
      <c r="X19" s="536"/>
      <c r="Y19" s="537"/>
      <c r="Z19" s="535">
        <v>1533</v>
      </c>
      <c r="AA19" s="536"/>
      <c r="AB19" s="536">
        <v>2934</v>
      </c>
      <c r="AC19" s="537"/>
      <c r="AD19" s="535"/>
      <c r="AE19" s="536"/>
      <c r="AF19" s="536"/>
      <c r="AG19" s="537"/>
      <c r="AH19" s="535"/>
      <c r="AI19" s="536"/>
      <c r="AJ19" s="536"/>
      <c r="AK19" s="537"/>
      <c r="AL19" s="535"/>
      <c r="AM19" s="536"/>
      <c r="AN19" s="536"/>
      <c r="AO19" s="537"/>
      <c r="AP19" s="535">
        <v>390</v>
      </c>
      <c r="AQ19" s="536">
        <v>3105</v>
      </c>
      <c r="AR19" s="536">
        <v>3472</v>
      </c>
      <c r="AS19" s="537">
        <v>4958</v>
      </c>
      <c r="AT19" s="535"/>
      <c r="AU19" s="536"/>
      <c r="AX19" s="539"/>
      <c r="AY19" s="540"/>
      <c r="AZ19" s="540"/>
      <c r="BA19" s="541"/>
      <c r="BB19" s="535"/>
      <c r="BC19" s="536"/>
      <c r="BD19" s="536"/>
      <c r="BE19" s="537"/>
      <c r="BF19" s="535"/>
      <c r="BG19" s="536"/>
      <c r="BH19" s="536"/>
      <c r="BI19" s="537"/>
      <c r="BJ19" s="535"/>
      <c r="BK19" s="536"/>
      <c r="BL19" s="536"/>
      <c r="BM19" s="537"/>
      <c r="BN19" s="535"/>
      <c r="BO19" s="536"/>
      <c r="BP19" s="536"/>
      <c r="BQ19" s="537"/>
      <c r="BR19" s="535"/>
      <c r="BS19" s="536"/>
      <c r="BT19" s="536"/>
      <c r="BU19" s="537"/>
      <c r="BV19" s="542"/>
      <c r="BW19" s="522"/>
      <c r="BX19" s="522"/>
      <c r="BY19" s="523"/>
      <c r="BZ19" s="561"/>
      <c r="CA19" s="522"/>
      <c r="CB19" s="522"/>
      <c r="CC19" s="523"/>
      <c r="CD19" s="546"/>
      <c r="CE19" s="547"/>
      <c r="CF19" s="547"/>
      <c r="CG19" s="548"/>
      <c r="CH19" s="549"/>
      <c r="CI19" s="550"/>
      <c r="CJ19" s="550"/>
      <c r="CK19" s="551"/>
      <c r="CL19" s="535"/>
      <c r="CM19" s="536"/>
      <c r="CN19" s="536"/>
      <c r="CO19" s="537"/>
      <c r="CP19" s="552">
        <f t="shared" si="2"/>
        <v>6056</v>
      </c>
      <c r="CQ19" s="552">
        <f t="shared" si="0"/>
        <v>3105</v>
      </c>
      <c r="CR19" s="552">
        <f t="shared" si="0"/>
        <v>17070</v>
      </c>
      <c r="CS19" s="552">
        <f t="shared" si="0"/>
        <v>4958</v>
      </c>
      <c r="CT19" s="535"/>
      <c r="CU19" s="536"/>
      <c r="CV19" s="536"/>
      <c r="CW19" s="537"/>
      <c r="CX19" s="370">
        <f t="shared" si="3"/>
        <v>6056</v>
      </c>
      <c r="CY19" s="370">
        <f t="shared" si="1"/>
        <v>3105</v>
      </c>
      <c r="CZ19" s="370">
        <f t="shared" si="1"/>
        <v>17070</v>
      </c>
      <c r="DA19" s="370">
        <f t="shared" si="1"/>
        <v>4958</v>
      </c>
    </row>
    <row r="20" spans="1:105" ht="14.25" x14ac:dyDescent="0.3">
      <c r="A20" s="524" t="s">
        <v>21</v>
      </c>
      <c r="B20" s="525"/>
      <c r="C20" s="526"/>
      <c r="D20" s="526"/>
      <c r="E20" s="527"/>
      <c r="F20" s="552"/>
      <c r="G20" s="556"/>
      <c r="H20" s="556"/>
      <c r="I20" s="557"/>
      <c r="J20" s="552"/>
      <c r="K20" s="556"/>
      <c r="L20" s="556"/>
      <c r="M20" s="557"/>
      <c r="N20" s="552"/>
      <c r="O20" s="556"/>
      <c r="P20" s="556"/>
      <c r="Q20" s="557"/>
      <c r="R20" s="552"/>
      <c r="S20" s="556"/>
      <c r="T20" s="556"/>
      <c r="U20" s="557"/>
      <c r="V20" s="552"/>
      <c r="W20" s="556"/>
      <c r="X20" s="556"/>
      <c r="Y20" s="557"/>
      <c r="Z20" s="552"/>
      <c r="AA20" s="556"/>
      <c r="AB20" s="556"/>
      <c r="AC20" s="557"/>
      <c r="AD20" s="552"/>
      <c r="AE20" s="556"/>
      <c r="AF20" s="556"/>
      <c r="AG20" s="557"/>
      <c r="AH20" s="552"/>
      <c r="AI20" s="556"/>
      <c r="AJ20" s="556"/>
      <c r="AK20" s="557"/>
      <c r="AL20" s="552"/>
      <c r="AM20" s="556"/>
      <c r="AN20" s="556"/>
      <c r="AO20" s="557"/>
      <c r="AP20" s="552"/>
      <c r="AQ20" s="556">
        <v>1</v>
      </c>
      <c r="AR20" s="556"/>
      <c r="AS20" s="557">
        <v>3</v>
      </c>
      <c r="AT20" s="552"/>
      <c r="AU20" s="556"/>
      <c r="AV20" s="556"/>
      <c r="AW20" s="557"/>
      <c r="AX20" s="539"/>
      <c r="AY20" s="540"/>
      <c r="AZ20" s="540"/>
      <c r="BA20" s="541"/>
      <c r="BB20" s="552">
        <v>352</v>
      </c>
      <c r="BC20" s="556">
        <v>448</v>
      </c>
      <c r="BD20" s="556">
        <v>1420</v>
      </c>
      <c r="BE20" s="557">
        <v>665</v>
      </c>
      <c r="BF20" s="558"/>
      <c r="BG20" s="559"/>
      <c r="BH20" s="559"/>
      <c r="BI20" s="560"/>
      <c r="BJ20" s="552"/>
      <c r="BK20" s="556"/>
      <c r="BL20" s="556"/>
      <c r="BM20" s="557"/>
      <c r="BN20" s="552"/>
      <c r="BO20" s="556"/>
      <c r="BP20" s="556"/>
      <c r="BQ20" s="557"/>
      <c r="BR20" s="552"/>
      <c r="BS20" s="556"/>
      <c r="BT20" s="556"/>
      <c r="BU20" s="557"/>
      <c r="BV20" s="542"/>
      <c r="BW20" s="522"/>
      <c r="BX20" s="522"/>
      <c r="BY20" s="523"/>
      <c r="BZ20" s="543">
        <v>-1</v>
      </c>
      <c r="CA20" s="544">
        <v>-2</v>
      </c>
      <c r="CB20" s="544">
        <v>-1</v>
      </c>
      <c r="CC20" s="545"/>
      <c r="CD20" s="546"/>
      <c r="CE20" s="547"/>
      <c r="CF20" s="547"/>
      <c r="CG20" s="548"/>
      <c r="CH20" s="549"/>
      <c r="CI20" s="550"/>
      <c r="CJ20" s="550"/>
      <c r="CK20" s="551"/>
      <c r="CL20" s="552"/>
      <c r="CM20" s="556"/>
      <c r="CN20" s="556"/>
      <c r="CO20" s="557"/>
      <c r="CP20" s="552">
        <f t="shared" si="2"/>
        <v>351</v>
      </c>
      <c r="CQ20" s="552">
        <f t="shared" si="0"/>
        <v>447</v>
      </c>
      <c r="CR20" s="552">
        <f t="shared" si="0"/>
        <v>1419</v>
      </c>
      <c r="CS20" s="552">
        <f t="shared" si="0"/>
        <v>668</v>
      </c>
      <c r="CT20" s="552"/>
      <c r="CU20" s="556"/>
      <c r="CV20" s="556"/>
      <c r="CW20" s="557"/>
      <c r="CX20" s="370">
        <f t="shared" si="3"/>
        <v>351</v>
      </c>
      <c r="CY20" s="370">
        <f t="shared" si="1"/>
        <v>447</v>
      </c>
      <c r="CZ20" s="370">
        <f t="shared" si="1"/>
        <v>1419</v>
      </c>
      <c r="DA20" s="370">
        <f t="shared" si="1"/>
        <v>668</v>
      </c>
    </row>
    <row r="21" spans="1:105" ht="14.25" x14ac:dyDescent="0.3">
      <c r="A21" s="524" t="s">
        <v>23</v>
      </c>
      <c r="B21" s="532"/>
      <c r="C21" s="533"/>
      <c r="D21" s="533"/>
      <c r="E21" s="534"/>
      <c r="F21" s="535"/>
      <c r="G21" s="536"/>
      <c r="H21" s="536"/>
      <c r="I21" s="537"/>
      <c r="J21" s="535">
        <v>11370</v>
      </c>
      <c r="K21" s="536">
        <v>2455</v>
      </c>
      <c r="L21" s="536">
        <v>18942</v>
      </c>
      <c r="M21" s="537">
        <v>6015</v>
      </c>
      <c r="N21" s="535"/>
      <c r="O21" s="536"/>
      <c r="P21" s="536"/>
      <c r="Q21" s="537"/>
      <c r="R21" s="535"/>
      <c r="S21" s="536"/>
      <c r="T21" s="536"/>
      <c r="U21" s="537"/>
      <c r="V21" s="535"/>
      <c r="W21" s="536"/>
      <c r="X21" s="536"/>
      <c r="Y21" s="537"/>
      <c r="Z21" s="535"/>
      <c r="AA21" s="536"/>
      <c r="AB21" s="536"/>
      <c r="AC21" s="537"/>
      <c r="AD21" s="535"/>
      <c r="AE21" s="536"/>
      <c r="AF21" s="536"/>
      <c r="AG21" s="537"/>
      <c r="AH21" s="535">
        <v>549</v>
      </c>
      <c r="AI21" s="536">
        <v>-119</v>
      </c>
      <c r="AJ21" s="536">
        <v>2021</v>
      </c>
      <c r="AK21" s="537">
        <v>237</v>
      </c>
      <c r="AL21" s="535"/>
      <c r="AM21" s="536"/>
      <c r="AN21" s="536"/>
      <c r="AO21" s="537"/>
      <c r="AP21" s="535">
        <v>489</v>
      </c>
      <c r="AQ21" s="536">
        <v>849</v>
      </c>
      <c r="AR21" s="536">
        <v>2118</v>
      </c>
      <c r="AS21" s="537">
        <v>2606</v>
      </c>
      <c r="AT21" s="535">
        <v>1165</v>
      </c>
      <c r="AU21" s="536">
        <v>1180</v>
      </c>
      <c r="AV21" s="536">
        <v>4381</v>
      </c>
      <c r="AW21" s="537">
        <v>2030</v>
      </c>
      <c r="AX21" s="539"/>
      <c r="AY21" s="540"/>
      <c r="AZ21" s="540"/>
      <c r="BA21" s="541"/>
      <c r="BB21" s="535"/>
      <c r="BC21" s="536"/>
      <c r="BD21" s="536"/>
      <c r="BE21" s="537"/>
      <c r="BF21" s="535"/>
      <c r="BG21" s="536"/>
      <c r="BH21" s="536"/>
      <c r="BI21" s="537"/>
      <c r="BJ21" s="535"/>
      <c r="BK21" s="536"/>
      <c r="BL21" s="536"/>
      <c r="BM21" s="537"/>
      <c r="BN21" s="535"/>
      <c r="BO21" s="536"/>
      <c r="BP21" s="536"/>
      <c r="BQ21" s="537"/>
      <c r="BR21" s="535"/>
      <c r="BS21" s="536"/>
      <c r="BT21" s="536"/>
      <c r="BU21" s="537"/>
      <c r="BV21" s="542"/>
      <c r="BW21" s="522"/>
      <c r="BX21" s="522"/>
      <c r="BY21" s="523"/>
      <c r="BZ21" s="543">
        <v>318</v>
      </c>
      <c r="CA21" s="544">
        <v>10</v>
      </c>
      <c r="CB21" s="544">
        <v>539</v>
      </c>
      <c r="CC21" s="545">
        <v>50</v>
      </c>
      <c r="CD21" s="546"/>
      <c r="CE21" s="547"/>
      <c r="CF21" s="547"/>
      <c r="CG21" s="548"/>
      <c r="CH21" s="549"/>
      <c r="CI21" s="550"/>
      <c r="CJ21" s="550"/>
      <c r="CK21" s="551"/>
      <c r="CL21" s="535"/>
      <c r="CM21" s="536"/>
      <c r="CN21" s="536"/>
      <c r="CO21" s="537"/>
      <c r="CP21" s="552">
        <f t="shared" si="2"/>
        <v>13891</v>
      </c>
      <c r="CQ21" s="552">
        <f t="shared" si="0"/>
        <v>4375</v>
      </c>
      <c r="CR21" s="552">
        <f t="shared" si="0"/>
        <v>28001</v>
      </c>
      <c r="CS21" s="552">
        <f t="shared" si="0"/>
        <v>10938</v>
      </c>
      <c r="CT21" s="549">
        <v>1312</v>
      </c>
      <c r="CU21" s="550"/>
      <c r="CV21" s="550">
        <v>3391</v>
      </c>
      <c r="CW21" s="551">
        <v>1532</v>
      </c>
      <c r="CX21" s="370">
        <f t="shared" si="3"/>
        <v>15203</v>
      </c>
      <c r="CY21" s="370">
        <f t="shared" si="1"/>
        <v>4375</v>
      </c>
      <c r="CZ21" s="370">
        <f t="shared" si="1"/>
        <v>31392</v>
      </c>
      <c r="DA21" s="370">
        <f t="shared" si="1"/>
        <v>12470</v>
      </c>
    </row>
    <row r="22" spans="1:105" ht="14.25" x14ac:dyDescent="0.3">
      <c r="A22" s="524" t="s">
        <v>81</v>
      </c>
      <c r="B22" s="532"/>
      <c r="C22" s="533"/>
      <c r="D22" s="533"/>
      <c r="E22" s="534"/>
      <c r="F22" s="535">
        <v>202</v>
      </c>
      <c r="G22" s="536">
        <v>127</v>
      </c>
      <c r="H22" s="536">
        <v>292</v>
      </c>
      <c r="I22" s="537">
        <v>155</v>
      </c>
      <c r="J22" s="535"/>
      <c r="K22" s="536"/>
      <c r="L22" s="536"/>
      <c r="M22" s="537"/>
      <c r="N22" s="535"/>
      <c r="O22" s="536"/>
      <c r="P22" s="536"/>
      <c r="Q22" s="537"/>
      <c r="R22" s="535"/>
      <c r="S22" s="536"/>
      <c r="T22" s="536"/>
      <c r="U22" s="537"/>
      <c r="V22" s="535">
        <v>17</v>
      </c>
      <c r="W22" s="536"/>
      <c r="X22" s="536">
        <v>19</v>
      </c>
      <c r="Y22" s="537"/>
      <c r="Z22" s="535"/>
      <c r="AA22" s="536"/>
      <c r="AB22" s="536"/>
      <c r="AC22" s="537"/>
      <c r="AD22" s="535"/>
      <c r="AE22" s="536"/>
      <c r="AF22" s="536"/>
      <c r="AG22" s="537"/>
      <c r="AH22" s="535"/>
      <c r="AI22" s="536"/>
      <c r="AJ22" s="536"/>
      <c r="AK22" s="537"/>
      <c r="AL22" s="535"/>
      <c r="AM22" s="536"/>
      <c r="AN22" s="536"/>
      <c r="AO22" s="537"/>
      <c r="AP22" s="535">
        <v>2892</v>
      </c>
      <c r="AQ22" s="536"/>
      <c r="AR22" s="536">
        <v>3737</v>
      </c>
      <c r="AS22" s="537"/>
      <c r="AT22" s="535">
        <v>22592</v>
      </c>
      <c r="AU22" s="536">
        <v>1278</v>
      </c>
      <c r="AV22" s="536">
        <v>45601</v>
      </c>
      <c r="AW22" s="537">
        <v>1308</v>
      </c>
      <c r="AX22" s="539"/>
      <c r="AY22" s="540"/>
      <c r="AZ22" s="540"/>
      <c r="BA22" s="541"/>
      <c r="BB22" s="535"/>
      <c r="BC22" s="536"/>
      <c r="BD22" s="536"/>
      <c r="BE22" s="537"/>
      <c r="BF22" s="535"/>
      <c r="BG22" s="536"/>
      <c r="BH22" s="536"/>
      <c r="BI22" s="537"/>
      <c r="BJ22" s="535"/>
      <c r="BK22" s="536"/>
      <c r="BL22" s="536"/>
      <c r="BM22" s="537"/>
      <c r="BN22" s="535"/>
      <c r="BO22" s="536"/>
      <c r="BP22" s="536"/>
      <c r="BQ22" s="537"/>
      <c r="BR22" s="535"/>
      <c r="BS22" s="536"/>
      <c r="BT22" s="536"/>
      <c r="BU22" s="537"/>
      <c r="BV22" s="542"/>
      <c r="BW22" s="522"/>
      <c r="BX22" s="522"/>
      <c r="BY22" s="523"/>
      <c r="BZ22" s="543">
        <v>626</v>
      </c>
      <c r="CA22" s="544">
        <v>590</v>
      </c>
      <c r="CB22" s="544">
        <v>1084</v>
      </c>
      <c r="CC22" s="545">
        <v>863</v>
      </c>
      <c r="CD22" s="546"/>
      <c r="CE22" s="547"/>
      <c r="CF22" s="547"/>
      <c r="CG22" s="548"/>
      <c r="CH22" s="549"/>
      <c r="CI22" s="550"/>
      <c r="CJ22" s="550"/>
      <c r="CK22" s="551"/>
      <c r="CL22" s="535"/>
      <c r="CM22" s="536"/>
      <c r="CN22" s="536"/>
      <c r="CO22" s="537"/>
      <c r="CP22" s="552">
        <f t="shared" si="2"/>
        <v>26329</v>
      </c>
      <c r="CQ22" s="552">
        <f t="shared" si="2"/>
        <v>1995</v>
      </c>
      <c r="CR22" s="552">
        <f t="shared" si="2"/>
        <v>50733</v>
      </c>
      <c r="CS22" s="552">
        <f t="shared" si="2"/>
        <v>2326</v>
      </c>
      <c r="CT22" s="549"/>
      <c r="CU22" s="550"/>
      <c r="CV22" s="550"/>
      <c r="CW22" s="551"/>
      <c r="CX22" s="370">
        <f t="shared" si="3"/>
        <v>26329</v>
      </c>
      <c r="CY22" s="370">
        <f t="shared" si="3"/>
        <v>1995</v>
      </c>
      <c r="CZ22" s="370">
        <f t="shared" si="3"/>
        <v>50733</v>
      </c>
      <c r="DA22" s="370">
        <f t="shared" si="3"/>
        <v>2326</v>
      </c>
    </row>
    <row r="23" spans="1:105" ht="14.25" x14ac:dyDescent="0.3">
      <c r="A23" s="524" t="s">
        <v>82</v>
      </c>
      <c r="B23" s="562"/>
      <c r="C23" s="563">
        <v>-1</v>
      </c>
      <c r="D23" s="563"/>
      <c r="E23" s="564">
        <v>-1</v>
      </c>
      <c r="F23" s="565"/>
      <c r="G23" s="566"/>
      <c r="H23" s="566"/>
      <c r="I23" s="567">
        <v>4</v>
      </c>
      <c r="J23" s="565">
        <v>-275</v>
      </c>
      <c r="K23" s="566">
        <v>1</v>
      </c>
      <c r="L23" s="566">
        <v>-275</v>
      </c>
      <c r="M23" s="567">
        <v>-1</v>
      </c>
      <c r="N23" s="565"/>
      <c r="O23" s="566"/>
      <c r="P23" s="566"/>
      <c r="Q23" s="567"/>
      <c r="R23" s="565"/>
      <c r="S23" s="566"/>
      <c r="T23" s="566"/>
      <c r="U23" s="567"/>
      <c r="V23" s="565"/>
      <c r="W23" s="566"/>
      <c r="X23" s="566"/>
      <c r="Y23" s="567"/>
      <c r="Z23" s="565">
        <v>806</v>
      </c>
      <c r="AA23" s="566">
        <v>948</v>
      </c>
      <c r="AB23" s="566">
        <v>2273</v>
      </c>
      <c r="AC23" s="567">
        <v>1305</v>
      </c>
      <c r="AD23" s="565"/>
      <c r="AE23" s="566"/>
      <c r="AF23" s="566"/>
      <c r="AG23" s="567"/>
      <c r="AH23" s="565">
        <v>1756</v>
      </c>
      <c r="AI23" s="566">
        <v>1876</v>
      </c>
      <c r="AJ23" s="566">
        <v>4835</v>
      </c>
      <c r="AK23" s="567">
        <v>5975</v>
      </c>
      <c r="AL23" s="565"/>
      <c r="AM23" s="566"/>
      <c r="AN23" s="566"/>
      <c r="AO23" s="567">
        <v>13</v>
      </c>
      <c r="AP23" s="565"/>
      <c r="AQ23" s="566"/>
      <c r="AR23" s="566"/>
      <c r="AS23" s="567"/>
      <c r="AT23" s="565"/>
      <c r="AU23" s="566"/>
      <c r="AV23" s="566"/>
      <c r="AW23" s="567"/>
      <c r="AX23" s="568"/>
      <c r="AY23" s="569"/>
      <c r="AZ23" s="569"/>
      <c r="BA23" s="570"/>
      <c r="BB23" s="565"/>
      <c r="BC23" s="566"/>
      <c r="BD23" s="566"/>
      <c r="BE23" s="567"/>
      <c r="BF23" s="565">
        <v>100</v>
      </c>
      <c r="BG23" s="566"/>
      <c r="BH23" s="566">
        <v>368</v>
      </c>
      <c r="BI23" s="567"/>
      <c r="BJ23" s="565"/>
      <c r="BK23" s="566"/>
      <c r="BL23" s="566"/>
      <c r="BM23" s="567"/>
      <c r="BN23" s="565">
        <v>-94</v>
      </c>
      <c r="BO23" s="566">
        <v>-76</v>
      </c>
      <c r="BP23" s="566">
        <v>-469</v>
      </c>
      <c r="BQ23" s="567">
        <v>-108</v>
      </c>
      <c r="BR23" s="565"/>
      <c r="BS23" s="566"/>
      <c r="BT23" s="566"/>
      <c r="BU23" s="567"/>
      <c r="BV23" s="571"/>
      <c r="BW23" s="572"/>
      <c r="BX23" s="572"/>
      <c r="BY23" s="573"/>
      <c r="BZ23" s="574"/>
      <c r="CA23" s="575"/>
      <c r="CB23" s="575"/>
      <c r="CC23" s="576"/>
      <c r="CD23" s="577"/>
      <c r="CE23" s="578"/>
      <c r="CF23" s="578"/>
      <c r="CG23" s="579"/>
      <c r="CH23" s="580"/>
      <c r="CI23" s="581"/>
      <c r="CJ23" s="581"/>
      <c r="CK23" s="582"/>
      <c r="CL23" s="565"/>
      <c r="CM23" s="566"/>
      <c r="CN23" s="566"/>
      <c r="CO23" s="567"/>
      <c r="CP23" s="552">
        <f t="shared" si="2"/>
        <v>2293</v>
      </c>
      <c r="CQ23" s="552">
        <f t="shared" si="2"/>
        <v>2748</v>
      </c>
      <c r="CR23" s="552">
        <f t="shared" si="2"/>
        <v>6732</v>
      </c>
      <c r="CS23" s="552">
        <f t="shared" si="2"/>
        <v>7187</v>
      </c>
      <c r="CT23" s="580"/>
      <c r="CU23" s="581"/>
      <c r="CV23" s="581"/>
      <c r="CW23" s="582"/>
      <c r="CX23" s="370">
        <f t="shared" si="3"/>
        <v>2293</v>
      </c>
      <c r="CY23" s="370">
        <f t="shared" si="3"/>
        <v>2748</v>
      </c>
      <c r="CZ23" s="370">
        <f t="shared" si="3"/>
        <v>6732</v>
      </c>
      <c r="DA23" s="370">
        <f t="shared" si="3"/>
        <v>7187</v>
      </c>
    </row>
    <row r="24" spans="1:105" ht="14.25" x14ac:dyDescent="0.3">
      <c r="A24" s="524" t="s">
        <v>83</v>
      </c>
      <c r="B24" s="562"/>
      <c r="C24" s="563"/>
      <c r="D24" s="563"/>
      <c r="E24" s="583"/>
      <c r="F24" s="565"/>
      <c r="G24" s="565"/>
      <c r="H24" s="565"/>
      <c r="I24" s="584"/>
      <c r="J24" s="565"/>
      <c r="K24" s="565"/>
      <c r="L24" s="565"/>
      <c r="M24" s="584"/>
      <c r="N24" s="565"/>
      <c r="O24" s="565">
        <v>3681</v>
      </c>
      <c r="P24" s="565"/>
      <c r="Q24" s="584">
        <v>7444</v>
      </c>
      <c r="R24" s="565"/>
      <c r="S24" s="566"/>
      <c r="T24" s="566"/>
      <c r="U24" s="567"/>
      <c r="V24" s="565"/>
      <c r="W24" s="566"/>
      <c r="X24" s="566"/>
      <c r="Y24" s="567"/>
      <c r="Z24" s="565"/>
      <c r="AA24" s="566"/>
      <c r="AB24" s="566"/>
      <c r="AC24" s="567"/>
      <c r="AD24" s="565"/>
      <c r="AE24" s="566"/>
      <c r="AF24" s="566"/>
      <c r="AG24" s="567"/>
      <c r="AH24" s="565"/>
      <c r="AI24" s="566"/>
      <c r="AJ24" s="566"/>
      <c r="AK24" s="567"/>
      <c r="AL24" s="565"/>
      <c r="AM24" s="566"/>
      <c r="AN24" s="566"/>
      <c r="AO24" s="567"/>
      <c r="AP24" s="565"/>
      <c r="AQ24" s="566"/>
      <c r="AR24" s="566"/>
      <c r="AS24" s="567"/>
      <c r="AT24" s="565"/>
      <c r="AU24" s="566"/>
      <c r="AV24" s="566"/>
      <c r="AW24" s="567"/>
      <c r="AX24" s="568"/>
      <c r="AY24" s="569"/>
      <c r="AZ24" s="569"/>
      <c r="BA24" s="570"/>
      <c r="BB24" s="565"/>
      <c r="BC24" s="566"/>
      <c r="BD24" s="566"/>
      <c r="BE24" s="567"/>
      <c r="BF24" s="565"/>
      <c r="BG24" s="566"/>
      <c r="BH24" s="566"/>
      <c r="BI24" s="567"/>
      <c r="BJ24" s="565"/>
      <c r="BK24" s="566"/>
      <c r="BL24" s="566"/>
      <c r="BM24" s="567"/>
      <c r="BN24" s="565"/>
      <c r="BO24" s="566"/>
      <c r="BP24" s="566"/>
      <c r="BQ24" s="567"/>
      <c r="BR24" s="565"/>
      <c r="BS24" s="566"/>
      <c r="BT24" s="566"/>
      <c r="BU24" s="567"/>
      <c r="BV24" s="571"/>
      <c r="BW24" s="572"/>
      <c r="BX24" s="572"/>
      <c r="BY24" s="573"/>
      <c r="BZ24" s="574"/>
      <c r="CA24" s="575"/>
      <c r="CB24" s="575"/>
      <c r="CC24" s="576"/>
      <c r="CD24" s="577"/>
      <c r="CE24" s="578"/>
      <c r="CF24" s="578"/>
      <c r="CG24" s="579"/>
      <c r="CH24" s="580"/>
      <c r="CI24" s="581"/>
      <c r="CJ24" s="581"/>
      <c r="CK24" s="582"/>
      <c r="CL24" s="565"/>
      <c r="CM24" s="566"/>
      <c r="CN24" s="566"/>
      <c r="CO24" s="567"/>
      <c r="CP24" s="552">
        <f t="shared" si="2"/>
        <v>0</v>
      </c>
      <c r="CQ24" s="552">
        <f t="shared" si="2"/>
        <v>3681</v>
      </c>
      <c r="CR24" s="552">
        <f t="shared" si="2"/>
        <v>0</v>
      </c>
      <c r="CS24" s="552">
        <f t="shared" si="2"/>
        <v>7444</v>
      </c>
      <c r="CT24" s="580"/>
      <c r="CU24" s="581"/>
      <c r="CV24" s="581"/>
      <c r="CW24" s="582"/>
      <c r="CX24" s="370">
        <f t="shared" si="3"/>
        <v>0</v>
      </c>
      <c r="CY24" s="370">
        <f t="shared" si="3"/>
        <v>3681</v>
      </c>
      <c r="CZ24" s="370">
        <f t="shared" si="3"/>
        <v>0</v>
      </c>
      <c r="DA24" s="370">
        <f t="shared" si="3"/>
        <v>7444</v>
      </c>
    </row>
    <row r="25" spans="1:105" ht="15" thickBot="1" x14ac:dyDescent="0.35">
      <c r="A25" s="585" t="s">
        <v>62</v>
      </c>
      <c r="B25" s="586">
        <f>SUM(B15:B23)</f>
        <v>1119245</v>
      </c>
      <c r="C25" s="586">
        <f>SUM(C15:C23)</f>
        <v>685326</v>
      </c>
      <c r="D25" s="586">
        <f t="shared" ref="D25:P25" si="19">SUM(D15:D23)</f>
        <v>2553377</v>
      </c>
      <c r="E25" s="586">
        <f t="shared" si="19"/>
        <v>1663379</v>
      </c>
      <c r="F25" s="586">
        <f t="shared" si="19"/>
        <v>7829</v>
      </c>
      <c r="G25" s="586">
        <f t="shared" si="19"/>
        <v>13190</v>
      </c>
      <c r="H25" s="586">
        <f t="shared" si="19"/>
        <v>24025</v>
      </c>
      <c r="I25" s="586">
        <f t="shared" si="19"/>
        <v>34783</v>
      </c>
      <c r="J25" s="586">
        <f t="shared" si="19"/>
        <v>38203</v>
      </c>
      <c r="K25" s="586">
        <f t="shared" si="19"/>
        <v>74459</v>
      </c>
      <c r="L25" s="586">
        <f t="shared" si="19"/>
        <v>175756</v>
      </c>
      <c r="M25" s="586">
        <f t="shared" si="19"/>
        <v>194186</v>
      </c>
      <c r="N25" s="586">
        <f t="shared" si="19"/>
        <v>772379</v>
      </c>
      <c r="O25" s="586">
        <f>SUM(O15:O24)</f>
        <v>466698</v>
      </c>
      <c r="P25" s="586">
        <f t="shared" si="19"/>
        <v>1919600</v>
      </c>
      <c r="Q25" s="586">
        <f>SUM(Q15:Q24)</f>
        <v>1247374</v>
      </c>
      <c r="R25" s="586">
        <f t="shared" ref="R25:BY25" si="20">SUM(R15:R24)</f>
        <v>430444</v>
      </c>
      <c r="S25" s="586">
        <f t="shared" si="20"/>
        <v>315892</v>
      </c>
      <c r="T25" s="586">
        <f t="shared" si="20"/>
        <v>1129969</v>
      </c>
      <c r="U25" s="586">
        <f t="shared" si="20"/>
        <v>755988</v>
      </c>
      <c r="V25" s="586">
        <f t="shared" si="20"/>
        <v>415581</v>
      </c>
      <c r="W25" s="586">
        <f t="shared" si="20"/>
        <v>336470</v>
      </c>
      <c r="X25" s="586">
        <f t="shared" si="20"/>
        <v>1131148</v>
      </c>
      <c r="Y25" s="586">
        <f t="shared" si="20"/>
        <v>847539</v>
      </c>
      <c r="Z25" s="586">
        <f t="shared" si="20"/>
        <v>139668</v>
      </c>
      <c r="AA25" s="586">
        <f t="shared" si="20"/>
        <v>202937</v>
      </c>
      <c r="AB25" s="586">
        <f t="shared" si="20"/>
        <v>654003</v>
      </c>
      <c r="AC25" s="586">
        <f t="shared" si="20"/>
        <v>400141</v>
      </c>
      <c r="AD25" s="586">
        <f t="shared" si="20"/>
        <v>140914</v>
      </c>
      <c r="AE25" s="586">
        <f t="shared" si="20"/>
        <v>88328</v>
      </c>
      <c r="AF25" s="586">
        <f t="shared" si="20"/>
        <v>324247</v>
      </c>
      <c r="AG25" s="586">
        <f t="shared" si="20"/>
        <v>212051</v>
      </c>
      <c r="AH25" s="586">
        <f t="shared" si="20"/>
        <v>441441</v>
      </c>
      <c r="AI25" s="586">
        <f t="shared" si="20"/>
        <v>353420</v>
      </c>
      <c r="AJ25" s="586">
        <f t="shared" si="20"/>
        <v>1218420</v>
      </c>
      <c r="AK25" s="586">
        <f t="shared" si="20"/>
        <v>1011443</v>
      </c>
      <c r="AL25" s="586">
        <f t="shared" si="20"/>
        <v>106218</v>
      </c>
      <c r="AM25" s="586">
        <f t="shared" si="20"/>
        <v>74396</v>
      </c>
      <c r="AN25" s="586">
        <f t="shared" si="20"/>
        <v>277148</v>
      </c>
      <c r="AO25" s="586">
        <f t="shared" si="20"/>
        <v>206190</v>
      </c>
      <c r="AP25" s="586">
        <f t="shared" si="20"/>
        <v>2622890</v>
      </c>
      <c r="AQ25" s="586">
        <f t="shared" si="20"/>
        <v>2625315</v>
      </c>
      <c r="AR25" s="586">
        <f t="shared" si="20"/>
        <v>7241377</v>
      </c>
      <c r="AS25" s="586">
        <f t="shared" si="20"/>
        <v>6662600</v>
      </c>
      <c r="AT25" s="586">
        <f t="shared" si="20"/>
        <v>3671470</v>
      </c>
      <c r="AU25" s="586">
        <f t="shared" si="20"/>
        <v>3772680</v>
      </c>
      <c r="AV25" s="586">
        <f t="shared" si="20"/>
        <v>10418040</v>
      </c>
      <c r="AW25" s="586">
        <f t="shared" si="20"/>
        <v>9566860</v>
      </c>
      <c r="AX25" s="586">
        <f t="shared" si="20"/>
        <v>266592</v>
      </c>
      <c r="AY25" s="586">
        <f t="shared" si="20"/>
        <v>228081</v>
      </c>
      <c r="AZ25" s="586">
        <f t="shared" si="20"/>
        <v>694486</v>
      </c>
      <c r="BA25" s="586">
        <f t="shared" si="20"/>
        <v>669851</v>
      </c>
      <c r="BB25" s="586">
        <f t="shared" si="20"/>
        <v>268446</v>
      </c>
      <c r="BC25" s="586">
        <f t="shared" si="20"/>
        <v>230652</v>
      </c>
      <c r="BD25" s="586">
        <f t="shared" si="20"/>
        <v>713300</v>
      </c>
      <c r="BE25" s="586">
        <f t="shared" si="20"/>
        <v>580415</v>
      </c>
      <c r="BF25" s="586">
        <f t="shared" si="20"/>
        <v>1153265</v>
      </c>
      <c r="BG25" s="586">
        <f t="shared" si="20"/>
        <v>916207</v>
      </c>
      <c r="BH25" s="586">
        <f t="shared" si="20"/>
        <v>2624110</v>
      </c>
      <c r="BI25" s="586">
        <f t="shared" si="20"/>
        <v>2143994</v>
      </c>
      <c r="BJ25" s="586">
        <f t="shared" si="20"/>
        <v>2282074</v>
      </c>
      <c r="BK25" s="586">
        <f t="shared" si="20"/>
        <v>2152667</v>
      </c>
      <c r="BL25" s="586">
        <f t="shared" si="20"/>
        <v>5970546</v>
      </c>
      <c r="BM25" s="586">
        <f t="shared" si="20"/>
        <v>5385381</v>
      </c>
      <c r="BN25" s="586">
        <f t="shared" si="20"/>
        <v>631949</v>
      </c>
      <c r="BO25" s="586">
        <f t="shared" si="20"/>
        <v>561176</v>
      </c>
      <c r="BP25" s="586">
        <f t="shared" si="20"/>
        <v>1604023</v>
      </c>
      <c r="BQ25" s="586">
        <f t="shared" si="20"/>
        <v>1398865</v>
      </c>
      <c r="BR25" s="586">
        <f t="shared" si="20"/>
        <v>434095</v>
      </c>
      <c r="BS25" s="586">
        <f t="shared" si="20"/>
        <v>353329</v>
      </c>
      <c r="BT25" s="586">
        <f t="shared" si="20"/>
        <v>1192668</v>
      </c>
      <c r="BU25" s="586">
        <f t="shared" si="20"/>
        <v>1059857</v>
      </c>
      <c r="BV25" s="586">
        <f t="shared" si="20"/>
        <v>0</v>
      </c>
      <c r="BW25" s="586">
        <f t="shared" si="20"/>
        <v>0</v>
      </c>
      <c r="BX25" s="586">
        <f t="shared" si="20"/>
        <v>0</v>
      </c>
      <c r="BY25" s="586">
        <f t="shared" si="20"/>
        <v>0</v>
      </c>
      <c r="BZ25" s="587">
        <v>3791601</v>
      </c>
      <c r="CA25" s="588">
        <v>3123844</v>
      </c>
      <c r="CB25" s="588">
        <f>SUM(CB15:CB24)</f>
        <v>8942950</v>
      </c>
      <c r="CC25" s="588">
        <f>SUM(CC15:CC24)</f>
        <v>7449300</v>
      </c>
      <c r="CD25" s="588">
        <f>SUM(CD15:CD24)</f>
        <v>251727</v>
      </c>
      <c r="CE25" s="588">
        <f t="shared" ref="CE25:CJ25" si="21">SUM(CE15:CE24)</f>
        <v>243959</v>
      </c>
      <c r="CF25" s="588">
        <f t="shared" si="21"/>
        <v>695060</v>
      </c>
      <c r="CG25" s="588">
        <f t="shared" si="21"/>
        <v>613514</v>
      </c>
      <c r="CH25" s="588">
        <f t="shared" si="21"/>
        <v>389414</v>
      </c>
      <c r="CI25" s="588">
        <f t="shared" si="21"/>
        <v>373307</v>
      </c>
      <c r="CJ25" s="588">
        <f t="shared" si="21"/>
        <v>933410</v>
      </c>
      <c r="CK25" s="588">
        <f>SUM(CK15:CK24)</f>
        <v>880293</v>
      </c>
      <c r="CL25" s="588">
        <f t="shared" ref="CL25:CN25" si="22">SUM(CL15:CL24)</f>
        <v>1347095</v>
      </c>
      <c r="CM25" s="588">
        <f t="shared" si="22"/>
        <v>807013</v>
      </c>
      <c r="CN25" s="588">
        <f t="shared" si="22"/>
        <v>3272349</v>
      </c>
      <c r="CO25" s="588">
        <f>SUM(CO15:CO24)</f>
        <v>1999394</v>
      </c>
      <c r="CP25" s="552">
        <f t="shared" si="2"/>
        <v>20722540</v>
      </c>
      <c r="CQ25" s="552">
        <f t="shared" si="2"/>
        <v>17999346</v>
      </c>
      <c r="CR25" s="552">
        <f t="shared" si="2"/>
        <v>53710012</v>
      </c>
      <c r="CS25" s="552">
        <f t="shared" si="2"/>
        <v>44983398</v>
      </c>
      <c r="CT25" s="589">
        <f>SUM(CT15:CT24)</f>
        <v>45986334</v>
      </c>
      <c r="CU25" s="589">
        <f t="shared" ref="CU25:CW25" si="23">SUM(CU15:CU24)</f>
        <v>91082962</v>
      </c>
      <c r="CV25" s="589">
        <f t="shared" si="23"/>
        <v>128241918</v>
      </c>
      <c r="CW25" s="589">
        <f t="shared" si="23"/>
        <v>120727366</v>
      </c>
      <c r="CX25" s="370">
        <f t="shared" si="3"/>
        <v>66708874</v>
      </c>
      <c r="CY25" s="370">
        <f t="shared" si="3"/>
        <v>109082308</v>
      </c>
      <c r="CZ25" s="370">
        <f t="shared" si="3"/>
        <v>181951930</v>
      </c>
      <c r="DA25" s="370">
        <f t="shared" si="3"/>
        <v>165710764</v>
      </c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39"/>
  <sheetViews>
    <sheetView topLeftCell="H1" workbookViewId="0">
      <selection activeCell="CT4" sqref="CT4:CW4"/>
    </sheetView>
  </sheetViews>
  <sheetFormatPr defaultRowHeight="16.5" x14ac:dyDescent="0.3"/>
  <cols>
    <col min="1" max="1" width="59.42578125" style="402" bestFit="1" customWidth="1"/>
    <col min="2" max="3" width="11.85546875" style="402" bestFit="1" customWidth="1"/>
    <col min="4" max="5" width="13" style="402" bestFit="1" customWidth="1"/>
    <col min="6" max="7" width="11.85546875" style="402" bestFit="1" customWidth="1"/>
    <col min="8" max="9" width="13" style="402" bestFit="1" customWidth="1"/>
    <col min="10" max="11" width="11.85546875" style="402" bestFit="1" customWidth="1"/>
    <col min="12" max="13" width="13" style="402" bestFit="1" customWidth="1"/>
    <col min="14" max="15" width="11.85546875" style="402" bestFit="1" customWidth="1"/>
    <col min="16" max="17" width="13" style="402" bestFit="1" customWidth="1"/>
    <col min="18" max="19" width="11.85546875" style="402" bestFit="1" customWidth="1"/>
    <col min="20" max="21" width="13" style="402" bestFit="1" customWidth="1"/>
    <col min="22" max="23" width="11.85546875" style="402" bestFit="1" customWidth="1"/>
    <col min="24" max="25" width="13" style="402" bestFit="1" customWidth="1"/>
    <col min="26" max="27" width="11.85546875" style="402" bestFit="1" customWidth="1"/>
    <col min="28" max="29" width="13" style="402" bestFit="1" customWidth="1"/>
    <col min="30" max="31" width="11.85546875" style="402" bestFit="1" customWidth="1"/>
    <col min="32" max="33" width="13" style="402" bestFit="1" customWidth="1"/>
    <col min="34" max="35" width="11.85546875" style="402" bestFit="1" customWidth="1"/>
    <col min="36" max="37" width="13" style="402" bestFit="1" customWidth="1"/>
    <col min="38" max="39" width="11.85546875" style="402" bestFit="1" customWidth="1"/>
    <col min="40" max="41" width="13" style="402" bestFit="1" customWidth="1"/>
    <col min="42" max="43" width="11.85546875" style="402" bestFit="1" customWidth="1"/>
    <col min="44" max="45" width="13" style="402" bestFit="1" customWidth="1"/>
    <col min="46" max="47" width="11.7109375" style="402" customWidth="1"/>
    <col min="48" max="49" width="13" style="402" bestFit="1" customWidth="1"/>
    <col min="50" max="51" width="11.85546875" style="402" bestFit="1" customWidth="1"/>
    <col min="52" max="53" width="13" style="402" bestFit="1" customWidth="1"/>
    <col min="54" max="55" width="11.85546875" style="402" bestFit="1" customWidth="1"/>
    <col min="56" max="57" width="13" style="402" bestFit="1" customWidth="1"/>
    <col min="58" max="59" width="11.85546875" style="402" bestFit="1" customWidth="1"/>
    <col min="60" max="61" width="13" style="402" bestFit="1" customWidth="1"/>
    <col min="62" max="63" width="11.85546875" style="402" bestFit="1" customWidth="1"/>
    <col min="64" max="65" width="13" style="402" bestFit="1" customWidth="1"/>
    <col min="66" max="67" width="11.85546875" style="402" bestFit="1" customWidth="1"/>
    <col min="68" max="69" width="13" style="402" bestFit="1" customWidth="1"/>
    <col min="70" max="71" width="11.85546875" style="402" bestFit="1" customWidth="1"/>
    <col min="72" max="73" width="13" style="402" bestFit="1" customWidth="1"/>
    <col min="74" max="75" width="11.85546875" style="402" bestFit="1" customWidth="1"/>
    <col min="76" max="77" width="13" style="402" bestFit="1" customWidth="1"/>
    <col min="78" max="79" width="11.85546875" style="402" bestFit="1" customWidth="1"/>
    <col min="80" max="81" width="13" style="402" bestFit="1" customWidth="1"/>
    <col min="82" max="83" width="11.85546875" style="402" bestFit="1" customWidth="1"/>
    <col min="84" max="85" width="13" style="402" bestFit="1" customWidth="1"/>
    <col min="86" max="87" width="11.85546875" style="402" bestFit="1" customWidth="1"/>
    <col min="88" max="89" width="13" style="402" bestFit="1" customWidth="1"/>
    <col min="90" max="91" width="11.85546875" style="402" bestFit="1" customWidth="1"/>
    <col min="92" max="93" width="13" style="402" bestFit="1" customWidth="1"/>
    <col min="94" max="95" width="11.85546875" style="402" bestFit="1" customWidth="1"/>
    <col min="96" max="97" width="13" style="402" bestFit="1" customWidth="1"/>
    <col min="98" max="99" width="11.85546875" style="402" bestFit="1" customWidth="1"/>
    <col min="100" max="101" width="13" style="402" bestFit="1" customWidth="1"/>
    <col min="102" max="103" width="12.85546875" style="402" bestFit="1" customWidth="1"/>
    <col min="104" max="105" width="13" style="402" bestFit="1" customWidth="1"/>
    <col min="106" max="16384" width="9.140625" style="402"/>
  </cols>
  <sheetData>
    <row r="1" spans="1:105" ht="18" x14ac:dyDescent="0.35">
      <c r="A1" s="1403" t="s">
        <v>255</v>
      </c>
      <c r="B1" s="1403"/>
      <c r="C1" s="1403"/>
      <c r="D1" s="1403"/>
      <c r="E1" s="1403"/>
      <c r="F1" s="1403"/>
      <c r="G1" s="1403"/>
      <c r="H1" s="1403"/>
      <c r="I1" s="1403"/>
      <c r="J1" s="1403"/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3"/>
      <c r="V1" s="1403"/>
      <c r="W1" s="1403"/>
      <c r="X1" s="1403"/>
      <c r="Y1" s="1403"/>
      <c r="Z1" s="1403"/>
      <c r="AA1" s="1403"/>
      <c r="AB1" s="1403"/>
      <c r="AC1" s="1403"/>
      <c r="AD1" s="1403"/>
      <c r="AE1" s="1403"/>
      <c r="AF1" s="1403"/>
      <c r="AG1" s="1403"/>
      <c r="AH1" s="1403"/>
      <c r="AI1" s="1403"/>
      <c r="AJ1" s="1403"/>
      <c r="AK1" s="1403"/>
      <c r="AL1" s="1403"/>
      <c r="AM1" s="1403"/>
      <c r="AN1" s="1403"/>
      <c r="AO1" s="1403"/>
      <c r="AP1" s="1403"/>
      <c r="AQ1" s="1403"/>
      <c r="AR1" s="1403"/>
      <c r="AS1" s="1403"/>
      <c r="AT1" s="1403"/>
      <c r="AU1" s="1403"/>
      <c r="AV1" s="1403"/>
      <c r="AW1" s="1403"/>
      <c r="AX1" s="1403"/>
      <c r="AY1" s="1403"/>
      <c r="AZ1" s="1403"/>
      <c r="BA1" s="1403"/>
      <c r="BB1" s="1403"/>
      <c r="BC1" s="1403"/>
      <c r="BD1" s="1403"/>
      <c r="BE1" s="1403"/>
      <c r="BF1" s="1403"/>
      <c r="BG1" s="1403"/>
      <c r="BH1" s="1403"/>
      <c r="BI1" s="1403"/>
      <c r="BJ1" s="1403"/>
      <c r="BK1" s="1403"/>
      <c r="BL1" s="1403"/>
      <c r="BM1" s="1403"/>
      <c r="BN1" s="1403"/>
      <c r="BO1" s="1403"/>
      <c r="BP1" s="1403"/>
      <c r="BQ1" s="1403"/>
      <c r="BR1" s="1403"/>
      <c r="BS1" s="1403"/>
      <c r="BT1" s="1403"/>
      <c r="BU1" s="1403"/>
      <c r="BV1" s="1403"/>
      <c r="BW1" s="1403"/>
      <c r="BX1" s="1403"/>
      <c r="BY1" s="1403"/>
      <c r="BZ1" s="1403"/>
      <c r="CA1" s="1403"/>
      <c r="CB1" s="1403"/>
      <c r="CC1" s="1403"/>
      <c r="CD1" s="1403"/>
      <c r="CE1" s="1403"/>
      <c r="CF1" s="1403"/>
      <c r="CG1" s="1403"/>
      <c r="CH1" s="1403"/>
      <c r="CI1" s="1403"/>
      <c r="CJ1" s="1403"/>
      <c r="CK1" s="1403"/>
      <c r="CL1" s="1403"/>
      <c r="CM1" s="1403"/>
      <c r="CN1" s="1403"/>
      <c r="CO1" s="1403"/>
      <c r="CP1" s="1403"/>
      <c r="CQ1" s="1403"/>
      <c r="CR1" s="1403"/>
      <c r="CS1" s="1403"/>
      <c r="CT1" s="1403"/>
      <c r="CU1" s="1403"/>
      <c r="CV1" s="1403"/>
      <c r="CW1" s="1403"/>
      <c r="CX1" s="1403"/>
      <c r="CY1" s="1403"/>
    </row>
    <row r="2" spans="1:105" s="952" customFormat="1" ht="18.75" thickBot="1" x14ac:dyDescent="0.4">
      <c r="A2" s="1344" t="s">
        <v>84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4"/>
      <c r="Z2" s="1344"/>
      <c r="AA2" s="1344"/>
      <c r="AB2" s="1344"/>
      <c r="AC2" s="1344"/>
      <c r="AD2" s="1344"/>
      <c r="AE2" s="1344"/>
      <c r="AF2" s="1344"/>
      <c r="AG2" s="1344"/>
      <c r="AH2" s="1344"/>
      <c r="AI2" s="1344"/>
      <c r="AJ2" s="1344"/>
      <c r="AK2" s="1344"/>
      <c r="AL2" s="1344"/>
      <c r="AM2" s="1344"/>
      <c r="AN2" s="1344"/>
      <c r="AO2" s="1344"/>
      <c r="AP2" s="1344"/>
      <c r="AQ2" s="1344"/>
      <c r="AR2" s="1344"/>
      <c r="AS2" s="1344"/>
      <c r="AT2" s="1344"/>
      <c r="AU2" s="1344"/>
      <c r="AV2" s="1344"/>
      <c r="AW2" s="1344"/>
      <c r="AX2" s="1344"/>
      <c r="AY2" s="1344"/>
      <c r="AZ2" s="1344"/>
      <c r="BA2" s="1344"/>
      <c r="BB2" s="1344"/>
      <c r="BC2" s="1344"/>
      <c r="BD2" s="1344"/>
      <c r="BE2" s="1344"/>
      <c r="BF2" s="1344"/>
      <c r="BG2" s="1344"/>
      <c r="BH2" s="1344"/>
      <c r="BI2" s="1344"/>
      <c r="BJ2" s="1344"/>
      <c r="BK2" s="1344"/>
      <c r="BL2" s="1344"/>
      <c r="BM2" s="1344"/>
      <c r="BN2" s="1344"/>
      <c r="BO2" s="1344"/>
      <c r="BP2" s="1344"/>
      <c r="BQ2" s="1344"/>
      <c r="BR2" s="1344"/>
      <c r="BS2" s="1344"/>
      <c r="BT2" s="1344"/>
      <c r="BU2" s="1344"/>
      <c r="BV2" s="1344"/>
      <c r="BW2" s="1344"/>
      <c r="BX2" s="1344"/>
      <c r="BY2" s="1344"/>
      <c r="BZ2" s="1344"/>
      <c r="CA2" s="1344"/>
      <c r="CB2" s="1344"/>
      <c r="CC2" s="1344"/>
      <c r="CD2" s="1344"/>
      <c r="CE2" s="1344"/>
      <c r="CF2" s="1344"/>
      <c r="CG2" s="1344"/>
      <c r="CH2" s="1344"/>
      <c r="CI2" s="1344"/>
      <c r="CJ2" s="1344"/>
      <c r="CK2" s="1344"/>
      <c r="CL2" s="1344"/>
      <c r="CM2" s="1344"/>
      <c r="CN2" s="1344"/>
      <c r="CO2" s="1344"/>
      <c r="CP2" s="1344"/>
      <c r="CQ2" s="1344"/>
      <c r="CR2" s="1344"/>
      <c r="CS2" s="1344"/>
      <c r="CT2" s="1344"/>
      <c r="CU2" s="1344"/>
      <c r="CV2" s="1344"/>
      <c r="CW2" s="1344"/>
      <c r="CX2" s="1344"/>
      <c r="CY2" s="1344"/>
    </row>
    <row r="3" spans="1:105" s="1079" customFormat="1" ht="38.25" customHeight="1" x14ac:dyDescent="0.3">
      <c r="A3" s="1404" t="s">
        <v>1</v>
      </c>
      <c r="B3" s="1406" t="s">
        <v>258</v>
      </c>
      <c r="C3" s="1407"/>
      <c r="D3" s="1407"/>
      <c r="E3" s="1408"/>
      <c r="F3" s="1397" t="s">
        <v>259</v>
      </c>
      <c r="G3" s="1397"/>
      <c r="H3" s="1397"/>
      <c r="I3" s="1398"/>
      <c r="J3" s="1397" t="s">
        <v>260</v>
      </c>
      <c r="K3" s="1397"/>
      <c r="L3" s="1397"/>
      <c r="M3" s="1398"/>
      <c r="N3" s="1397" t="s">
        <v>261</v>
      </c>
      <c r="O3" s="1397"/>
      <c r="P3" s="1397"/>
      <c r="Q3" s="1398"/>
      <c r="R3" s="1397" t="s">
        <v>262</v>
      </c>
      <c r="S3" s="1397"/>
      <c r="T3" s="1397"/>
      <c r="U3" s="1398"/>
      <c r="V3" s="1397" t="s">
        <v>263</v>
      </c>
      <c r="W3" s="1397"/>
      <c r="X3" s="1397"/>
      <c r="Y3" s="1398"/>
      <c r="Z3" s="1397" t="s">
        <v>264</v>
      </c>
      <c r="AA3" s="1397"/>
      <c r="AB3" s="1397"/>
      <c r="AC3" s="1398"/>
      <c r="AD3" s="1397" t="s">
        <v>265</v>
      </c>
      <c r="AE3" s="1397"/>
      <c r="AF3" s="1397"/>
      <c r="AG3" s="1398"/>
      <c r="AH3" s="1397" t="s">
        <v>266</v>
      </c>
      <c r="AI3" s="1397"/>
      <c r="AJ3" s="1397"/>
      <c r="AK3" s="1398"/>
      <c r="AL3" s="1397" t="s">
        <v>267</v>
      </c>
      <c r="AM3" s="1397"/>
      <c r="AN3" s="1397"/>
      <c r="AO3" s="1398"/>
      <c r="AP3" s="1397" t="s">
        <v>268</v>
      </c>
      <c r="AQ3" s="1397"/>
      <c r="AR3" s="1397"/>
      <c r="AS3" s="1398"/>
      <c r="AT3" s="1397" t="s">
        <v>269</v>
      </c>
      <c r="AU3" s="1397"/>
      <c r="AV3" s="1397"/>
      <c r="AW3" s="1398"/>
      <c r="AX3" s="1397" t="s">
        <v>270</v>
      </c>
      <c r="AY3" s="1397"/>
      <c r="AZ3" s="1397"/>
      <c r="BA3" s="1398"/>
      <c r="BB3" s="1397" t="s">
        <v>271</v>
      </c>
      <c r="BC3" s="1397"/>
      <c r="BD3" s="1397"/>
      <c r="BE3" s="1398"/>
      <c r="BF3" s="1397" t="s">
        <v>272</v>
      </c>
      <c r="BG3" s="1397"/>
      <c r="BH3" s="1397"/>
      <c r="BI3" s="1398"/>
      <c r="BJ3" s="1397" t="s">
        <v>273</v>
      </c>
      <c r="BK3" s="1397"/>
      <c r="BL3" s="1397"/>
      <c r="BM3" s="1398"/>
      <c r="BN3" s="1397" t="s">
        <v>274</v>
      </c>
      <c r="BO3" s="1397"/>
      <c r="BP3" s="1397"/>
      <c r="BQ3" s="1398"/>
      <c r="BR3" s="1397" t="s">
        <v>275</v>
      </c>
      <c r="BS3" s="1397"/>
      <c r="BT3" s="1397"/>
      <c r="BU3" s="1398"/>
      <c r="BV3" s="1397" t="s">
        <v>276</v>
      </c>
      <c r="BW3" s="1397"/>
      <c r="BX3" s="1397"/>
      <c r="BY3" s="1398"/>
      <c r="BZ3" s="1397" t="s">
        <v>277</v>
      </c>
      <c r="CA3" s="1397"/>
      <c r="CB3" s="1397"/>
      <c r="CC3" s="1398"/>
      <c r="CD3" s="1402" t="s">
        <v>278</v>
      </c>
      <c r="CE3" s="1397"/>
      <c r="CF3" s="1397"/>
      <c r="CG3" s="1398"/>
      <c r="CH3" s="1402" t="s">
        <v>279</v>
      </c>
      <c r="CI3" s="1397"/>
      <c r="CJ3" s="1397"/>
      <c r="CK3" s="1398"/>
      <c r="CL3" s="1402" t="s">
        <v>280</v>
      </c>
      <c r="CM3" s="1397"/>
      <c r="CN3" s="1397"/>
      <c r="CO3" s="1398"/>
      <c r="CP3" s="1402" t="s">
        <v>2</v>
      </c>
      <c r="CQ3" s="1397"/>
      <c r="CR3" s="1397"/>
      <c r="CS3" s="1398"/>
      <c r="CT3" s="1402" t="s">
        <v>281</v>
      </c>
      <c r="CU3" s="1397"/>
      <c r="CV3" s="1397"/>
      <c r="CW3" s="1398"/>
      <c r="CX3" s="1399" t="s">
        <v>3</v>
      </c>
      <c r="CY3" s="1400"/>
      <c r="CZ3" s="1400"/>
      <c r="DA3" s="1401"/>
    </row>
    <row r="4" spans="1:105" ht="15" customHeight="1" thickBot="1" x14ac:dyDescent="0.35">
      <c r="A4" s="1405"/>
      <c r="B4" s="24" t="s">
        <v>4</v>
      </c>
      <c r="C4" s="24" t="s">
        <v>5</v>
      </c>
      <c r="D4" s="24" t="s">
        <v>6</v>
      </c>
      <c r="E4" s="24" t="s">
        <v>7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4</v>
      </c>
      <c r="K4" s="24" t="s">
        <v>5</v>
      </c>
      <c r="L4" s="24" t="s">
        <v>6</v>
      </c>
      <c r="M4" s="24" t="s">
        <v>7</v>
      </c>
      <c r="N4" s="24" t="s">
        <v>4</v>
      </c>
      <c r="O4" s="24" t="s">
        <v>5</v>
      </c>
      <c r="P4" s="24" t="s">
        <v>6</v>
      </c>
      <c r="Q4" s="24" t="s">
        <v>7</v>
      </c>
      <c r="R4" s="24" t="s">
        <v>4</v>
      </c>
      <c r="S4" s="24" t="s">
        <v>5</v>
      </c>
      <c r="T4" s="24" t="s">
        <v>6</v>
      </c>
      <c r="U4" s="24" t="s">
        <v>7</v>
      </c>
      <c r="V4" s="24" t="s">
        <v>4</v>
      </c>
      <c r="W4" s="24" t="s">
        <v>5</v>
      </c>
      <c r="X4" s="24" t="s">
        <v>6</v>
      </c>
      <c r="Y4" s="24" t="s">
        <v>7</v>
      </c>
      <c r="Z4" s="24" t="s">
        <v>4</v>
      </c>
      <c r="AA4" s="24" t="s">
        <v>5</v>
      </c>
      <c r="AB4" s="24" t="s">
        <v>6</v>
      </c>
      <c r="AC4" s="24" t="s">
        <v>7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4</v>
      </c>
      <c r="AI4" s="24" t="s">
        <v>5</v>
      </c>
      <c r="AJ4" s="24" t="s">
        <v>6</v>
      </c>
      <c r="AK4" s="24" t="s">
        <v>7</v>
      </c>
      <c r="AL4" s="24" t="s">
        <v>4</v>
      </c>
      <c r="AM4" s="24" t="s">
        <v>5</v>
      </c>
      <c r="AN4" s="24" t="s">
        <v>6</v>
      </c>
      <c r="AO4" s="24" t="s">
        <v>7</v>
      </c>
      <c r="AP4" s="24" t="s">
        <v>4</v>
      </c>
      <c r="AQ4" s="24" t="s">
        <v>5</v>
      </c>
      <c r="AR4" s="24" t="s">
        <v>6</v>
      </c>
      <c r="AS4" s="24" t="s">
        <v>7</v>
      </c>
      <c r="AT4" s="24" t="s">
        <v>4</v>
      </c>
      <c r="AU4" s="24" t="s">
        <v>5</v>
      </c>
      <c r="AV4" s="24" t="s">
        <v>6</v>
      </c>
      <c r="AW4" s="24" t="s">
        <v>7</v>
      </c>
      <c r="AX4" s="24" t="s">
        <v>4</v>
      </c>
      <c r="AY4" s="24" t="s">
        <v>5</v>
      </c>
      <c r="AZ4" s="24" t="s">
        <v>6</v>
      </c>
      <c r="BA4" s="24" t="s">
        <v>7</v>
      </c>
      <c r="BB4" s="24" t="s">
        <v>4</v>
      </c>
      <c r="BC4" s="24" t="s">
        <v>5</v>
      </c>
      <c r="BD4" s="24" t="s">
        <v>6</v>
      </c>
      <c r="BE4" s="24" t="s">
        <v>7</v>
      </c>
      <c r="BF4" s="24" t="s">
        <v>4</v>
      </c>
      <c r="BG4" s="24" t="s">
        <v>5</v>
      </c>
      <c r="BH4" s="24" t="s">
        <v>6</v>
      </c>
      <c r="BI4" s="24" t="s">
        <v>7</v>
      </c>
      <c r="BJ4" s="24" t="s">
        <v>4</v>
      </c>
      <c r="BK4" s="24" t="s">
        <v>5</v>
      </c>
      <c r="BL4" s="24" t="s">
        <v>6</v>
      </c>
      <c r="BM4" s="24" t="s">
        <v>7</v>
      </c>
      <c r="BN4" s="24" t="s">
        <v>4</v>
      </c>
      <c r="BO4" s="24" t="s">
        <v>5</v>
      </c>
      <c r="BP4" s="24" t="s">
        <v>6</v>
      </c>
      <c r="BQ4" s="24" t="s">
        <v>7</v>
      </c>
      <c r="BR4" s="24" t="s">
        <v>4</v>
      </c>
      <c r="BS4" s="24" t="s">
        <v>5</v>
      </c>
      <c r="BT4" s="24" t="s">
        <v>6</v>
      </c>
      <c r="BU4" s="24" t="s">
        <v>7</v>
      </c>
      <c r="BV4" s="24" t="s">
        <v>4</v>
      </c>
      <c r="BW4" s="24" t="s">
        <v>5</v>
      </c>
      <c r="BX4" s="24" t="s">
        <v>6</v>
      </c>
      <c r="BY4" s="24" t="s">
        <v>7</v>
      </c>
      <c r="BZ4" s="24" t="s">
        <v>4</v>
      </c>
      <c r="CA4" s="24" t="s">
        <v>5</v>
      </c>
      <c r="CB4" s="24" t="s">
        <v>6</v>
      </c>
      <c r="CC4" s="24" t="s">
        <v>7</v>
      </c>
      <c r="CD4" s="24" t="s">
        <v>4</v>
      </c>
      <c r="CE4" s="24" t="s">
        <v>5</v>
      </c>
      <c r="CF4" s="24" t="s">
        <v>6</v>
      </c>
      <c r="CG4" s="24" t="s">
        <v>7</v>
      </c>
      <c r="CH4" s="24" t="s">
        <v>4</v>
      </c>
      <c r="CI4" s="24" t="s">
        <v>5</v>
      </c>
      <c r="CJ4" s="24" t="s">
        <v>6</v>
      </c>
      <c r="CK4" s="24" t="s">
        <v>7</v>
      </c>
      <c r="CL4" s="24" t="s">
        <v>4</v>
      </c>
      <c r="CM4" s="24" t="s">
        <v>5</v>
      </c>
      <c r="CN4" s="24" t="s">
        <v>6</v>
      </c>
      <c r="CO4" s="24" t="s">
        <v>7</v>
      </c>
      <c r="CP4" s="24" t="s">
        <v>4</v>
      </c>
      <c r="CQ4" s="24" t="s">
        <v>5</v>
      </c>
      <c r="CR4" s="24" t="s">
        <v>6</v>
      </c>
      <c r="CS4" s="24" t="s">
        <v>7</v>
      </c>
      <c r="CT4" s="24" t="s">
        <v>4</v>
      </c>
      <c r="CU4" s="24" t="s">
        <v>5</v>
      </c>
      <c r="CV4" s="24" t="s">
        <v>6</v>
      </c>
      <c r="CW4" s="24" t="s">
        <v>7</v>
      </c>
      <c r="CX4" s="24" t="s">
        <v>4</v>
      </c>
      <c r="CY4" s="24" t="s">
        <v>5</v>
      </c>
      <c r="CZ4" s="24" t="s">
        <v>6</v>
      </c>
      <c r="DA4" s="24" t="s">
        <v>7</v>
      </c>
    </row>
    <row r="5" spans="1:105" ht="15" customHeight="1" x14ac:dyDescent="0.3">
      <c r="A5" s="591" t="s">
        <v>85</v>
      </c>
      <c r="B5" s="592">
        <v>1675348</v>
      </c>
      <c r="C5" s="593">
        <v>1264634</v>
      </c>
      <c r="D5" s="593">
        <v>4678328</v>
      </c>
      <c r="E5" s="594">
        <v>3690735</v>
      </c>
      <c r="F5" s="595">
        <v>249996</v>
      </c>
      <c r="G5" s="593">
        <v>235190</v>
      </c>
      <c r="H5" s="593">
        <v>706200</v>
      </c>
      <c r="I5" s="594">
        <v>660096</v>
      </c>
      <c r="J5" s="595">
        <v>383373</v>
      </c>
      <c r="K5" s="593">
        <v>472049</v>
      </c>
      <c r="L5" s="593">
        <v>1476677</v>
      </c>
      <c r="M5" s="594">
        <v>1503043</v>
      </c>
      <c r="N5" s="595">
        <v>2337379</v>
      </c>
      <c r="O5" s="593">
        <v>1760409</v>
      </c>
      <c r="P5" s="593">
        <v>6753392</v>
      </c>
      <c r="Q5" s="594">
        <v>5001731</v>
      </c>
      <c r="R5" s="595">
        <v>670660</v>
      </c>
      <c r="S5" s="593">
        <v>593132</v>
      </c>
      <c r="T5" s="593">
        <v>1978053</v>
      </c>
      <c r="U5" s="594">
        <v>1675210</v>
      </c>
      <c r="V5" s="595">
        <v>529810</v>
      </c>
      <c r="W5" s="593">
        <v>513405</v>
      </c>
      <c r="X5" s="593">
        <v>1580638</v>
      </c>
      <c r="Y5" s="594">
        <v>1439227</v>
      </c>
      <c r="Z5" s="595">
        <v>587042</v>
      </c>
      <c r="AA5" s="593">
        <v>846082</v>
      </c>
      <c r="AB5" s="593">
        <v>2304466</v>
      </c>
      <c r="AC5" s="594">
        <v>2230708</v>
      </c>
      <c r="AD5" s="595">
        <v>779379</v>
      </c>
      <c r="AE5" s="593">
        <v>594956</v>
      </c>
      <c r="AF5" s="593">
        <v>2085647</v>
      </c>
      <c r="AG5" s="594">
        <v>1465587</v>
      </c>
      <c r="AH5" s="595">
        <v>820219</v>
      </c>
      <c r="AI5" s="593">
        <v>701456</v>
      </c>
      <c r="AJ5" s="593">
        <v>2313504</v>
      </c>
      <c r="AK5" s="594">
        <v>2198841</v>
      </c>
      <c r="AL5" s="595">
        <v>788247</v>
      </c>
      <c r="AM5" s="593">
        <v>599432</v>
      </c>
      <c r="AN5" s="593">
        <v>2102012</v>
      </c>
      <c r="AO5" s="594">
        <v>1652435</v>
      </c>
      <c r="AP5" s="595">
        <v>3395027</v>
      </c>
      <c r="AQ5" s="593">
        <v>3299865</v>
      </c>
      <c r="AR5" s="593">
        <v>10305795</v>
      </c>
      <c r="AS5" s="594">
        <v>8932584</v>
      </c>
      <c r="AT5" s="595">
        <v>2230201</v>
      </c>
      <c r="AU5" s="593">
        <v>2441204</v>
      </c>
      <c r="AV5" s="593">
        <v>7423297</v>
      </c>
      <c r="AW5" s="594">
        <v>7080867</v>
      </c>
      <c r="AX5" s="595">
        <v>324782</v>
      </c>
      <c r="AY5" s="593">
        <v>319683</v>
      </c>
      <c r="AZ5" s="593">
        <v>916885</v>
      </c>
      <c r="BA5" s="594">
        <v>928159</v>
      </c>
      <c r="BB5" s="595">
        <v>425039</v>
      </c>
      <c r="BC5" s="593">
        <v>339948</v>
      </c>
      <c r="BD5" s="593">
        <v>1201459</v>
      </c>
      <c r="BE5" s="594">
        <v>1039829</v>
      </c>
      <c r="BF5" s="595">
        <v>1941123</v>
      </c>
      <c r="BG5" s="593">
        <v>1565263</v>
      </c>
      <c r="BH5" s="593">
        <v>5334904</v>
      </c>
      <c r="BI5" s="594">
        <v>4352153</v>
      </c>
      <c r="BJ5" s="595">
        <v>2098801</v>
      </c>
      <c r="BK5" s="593">
        <v>1757699</v>
      </c>
      <c r="BL5" s="593">
        <v>5983439</v>
      </c>
      <c r="BM5" s="594">
        <v>5595737</v>
      </c>
      <c r="BN5" s="595">
        <v>1462150</v>
      </c>
      <c r="BO5" s="593">
        <v>1369443</v>
      </c>
      <c r="BP5" s="593">
        <v>4190176</v>
      </c>
      <c r="BQ5" s="594">
        <v>3951767</v>
      </c>
      <c r="BR5" s="595">
        <v>1531718</v>
      </c>
      <c r="BS5" s="593">
        <v>1312488</v>
      </c>
      <c r="BT5" s="593">
        <v>4651070</v>
      </c>
      <c r="BU5" s="594">
        <v>3937580</v>
      </c>
      <c r="BV5" s="595"/>
      <c r="BW5" s="593"/>
      <c r="BX5" s="593"/>
      <c r="BY5" s="594"/>
      <c r="BZ5" s="596">
        <v>2998089</v>
      </c>
      <c r="CA5" s="597">
        <v>2412993</v>
      </c>
      <c r="CB5" s="597">
        <v>8903356</v>
      </c>
      <c r="CC5" s="598">
        <v>7136001</v>
      </c>
      <c r="CD5" s="592">
        <v>659355</v>
      </c>
      <c r="CE5" s="593">
        <v>465272</v>
      </c>
      <c r="CF5" s="593">
        <v>1791280</v>
      </c>
      <c r="CG5" s="594">
        <v>1320321</v>
      </c>
      <c r="CH5" s="592">
        <v>521577</v>
      </c>
      <c r="CI5" s="593">
        <v>446141</v>
      </c>
      <c r="CJ5" s="593">
        <v>1465259</v>
      </c>
      <c r="CK5" s="594">
        <v>1441358</v>
      </c>
      <c r="CL5" s="592">
        <v>1407375</v>
      </c>
      <c r="CM5" s="593">
        <v>971150</v>
      </c>
      <c r="CN5" s="593">
        <v>4069672</v>
      </c>
      <c r="CO5" s="594">
        <v>2797591</v>
      </c>
      <c r="CP5" s="592">
        <f>SUM(B5+F5+J5+N5+R5+V5+Z5+AD5+AH5+AL5+AP5+AT5+AX5+BB5+BF5+BJ5+BN5+BR5+BV5+BZ5+CD5+CH5+CL5)</f>
        <v>27816690</v>
      </c>
      <c r="CQ5" s="592">
        <f t="shared" ref="CQ5:CS20" si="0">SUM(C5+G5+K5+O5+S5+W5+AA5+AE5+AI5+AM5+AQ5+AU5+AY5+BC5+BG5+BK5+BO5+BS5+BW5+CA5+CE5+CI5+CM5)</f>
        <v>24281894</v>
      </c>
      <c r="CR5" s="592">
        <f t="shared" si="0"/>
        <v>82215509</v>
      </c>
      <c r="CS5" s="592">
        <f t="shared" si="0"/>
        <v>70031560</v>
      </c>
      <c r="CT5" s="592">
        <v>49586183</v>
      </c>
      <c r="CU5" s="593">
        <v>55102315</v>
      </c>
      <c r="CV5" s="593">
        <v>147343247</v>
      </c>
      <c r="CW5" s="594">
        <v>141040042</v>
      </c>
      <c r="CX5" s="592">
        <f>CP5+CT5</f>
        <v>77402873</v>
      </c>
      <c r="CY5" s="592">
        <f t="shared" ref="CY5:DA20" si="1">CQ5+CU5</f>
        <v>79384209</v>
      </c>
      <c r="CZ5" s="592">
        <f t="shared" si="1"/>
        <v>229558756</v>
      </c>
      <c r="DA5" s="599">
        <f t="shared" si="1"/>
        <v>211071602</v>
      </c>
    </row>
    <row r="6" spans="1:105" x14ac:dyDescent="0.3">
      <c r="A6" s="600" t="s">
        <v>86</v>
      </c>
      <c r="B6" s="601">
        <v>51959</v>
      </c>
      <c r="C6" s="602">
        <v>49937</v>
      </c>
      <c r="D6" s="602">
        <v>164708</v>
      </c>
      <c r="E6" s="603">
        <v>179251</v>
      </c>
      <c r="F6" s="604">
        <v>12081</v>
      </c>
      <c r="G6" s="605">
        <v>11773</v>
      </c>
      <c r="H6" s="605">
        <v>34748</v>
      </c>
      <c r="I6" s="606">
        <v>33288</v>
      </c>
      <c r="J6" s="604">
        <v>10398</v>
      </c>
      <c r="K6" s="605">
        <v>19553</v>
      </c>
      <c r="L6" s="605">
        <v>32548</v>
      </c>
      <c r="M6" s="606">
        <v>42781</v>
      </c>
      <c r="N6" s="604">
        <v>72140</v>
      </c>
      <c r="O6" s="605">
        <v>61676</v>
      </c>
      <c r="P6" s="605">
        <v>225120</v>
      </c>
      <c r="Q6" s="606">
        <v>180391</v>
      </c>
      <c r="R6" s="604">
        <v>20452</v>
      </c>
      <c r="S6" s="605">
        <v>14545</v>
      </c>
      <c r="T6" s="605">
        <v>62365</v>
      </c>
      <c r="U6" s="606">
        <v>47433</v>
      </c>
      <c r="V6" s="604">
        <v>31588</v>
      </c>
      <c r="W6" s="605">
        <v>24187</v>
      </c>
      <c r="X6" s="605">
        <v>87761</v>
      </c>
      <c r="Y6" s="606">
        <v>65160</v>
      </c>
      <c r="Z6" s="604">
        <v>17724</v>
      </c>
      <c r="AA6" s="605">
        <v>23144</v>
      </c>
      <c r="AB6" s="605">
        <v>64229</v>
      </c>
      <c r="AC6" s="606">
        <v>68793</v>
      </c>
      <c r="AD6" s="604">
        <v>44660</v>
      </c>
      <c r="AE6" s="605">
        <v>46861</v>
      </c>
      <c r="AF6" s="605">
        <v>133775</v>
      </c>
      <c r="AG6" s="606">
        <v>113227</v>
      </c>
      <c r="AH6" s="604">
        <v>39333</v>
      </c>
      <c r="AI6" s="605">
        <v>35760</v>
      </c>
      <c r="AJ6" s="605">
        <v>103364</v>
      </c>
      <c r="AK6" s="606">
        <v>93239</v>
      </c>
      <c r="AL6" s="604">
        <v>17362</v>
      </c>
      <c r="AM6" s="605">
        <v>14209</v>
      </c>
      <c r="AN6" s="605">
        <v>51793</v>
      </c>
      <c r="AO6" s="606">
        <v>39990</v>
      </c>
      <c r="AP6" s="604">
        <v>79972</v>
      </c>
      <c r="AQ6" s="605">
        <v>66408</v>
      </c>
      <c r="AR6" s="605">
        <v>210791</v>
      </c>
      <c r="AS6" s="606">
        <v>170229</v>
      </c>
      <c r="AT6" s="604">
        <v>162647</v>
      </c>
      <c r="AU6" s="605">
        <v>162335</v>
      </c>
      <c r="AV6" s="605">
        <v>527123</v>
      </c>
      <c r="AW6" s="606">
        <v>432088</v>
      </c>
      <c r="AX6" s="607">
        <v>12605</v>
      </c>
      <c r="AY6" s="608">
        <v>11542</v>
      </c>
      <c r="AZ6" s="608">
        <v>39039</v>
      </c>
      <c r="BA6" s="609">
        <v>42886</v>
      </c>
      <c r="BB6" s="604">
        <v>30075</v>
      </c>
      <c r="BC6" s="605">
        <v>30079</v>
      </c>
      <c r="BD6" s="605">
        <v>80384</v>
      </c>
      <c r="BE6" s="606">
        <v>79650</v>
      </c>
      <c r="BF6" s="604">
        <v>40502</v>
      </c>
      <c r="BG6" s="605">
        <v>53344</v>
      </c>
      <c r="BH6" s="605">
        <v>153334</v>
      </c>
      <c r="BI6" s="606">
        <v>148702</v>
      </c>
      <c r="BJ6" s="604">
        <v>188665</v>
      </c>
      <c r="BK6" s="605">
        <v>94708</v>
      </c>
      <c r="BL6" s="605">
        <v>440108</v>
      </c>
      <c r="BM6" s="606">
        <v>309228</v>
      </c>
      <c r="BN6" s="604">
        <v>34843</v>
      </c>
      <c r="BO6" s="605">
        <v>37103</v>
      </c>
      <c r="BP6" s="605">
        <v>99739</v>
      </c>
      <c r="BQ6" s="606">
        <v>99128</v>
      </c>
      <c r="BR6" s="604">
        <v>52829</v>
      </c>
      <c r="BS6" s="605">
        <v>20071</v>
      </c>
      <c r="BT6" s="605">
        <v>162790</v>
      </c>
      <c r="BU6" s="606">
        <v>99733</v>
      </c>
      <c r="BV6" s="610"/>
      <c r="BW6" s="605"/>
      <c r="BX6" s="605"/>
      <c r="BY6" s="606"/>
      <c r="BZ6" s="611">
        <v>161900</v>
      </c>
      <c r="CA6" s="612">
        <v>172906</v>
      </c>
      <c r="CB6" s="612">
        <v>459115</v>
      </c>
      <c r="CC6" s="613">
        <v>446595</v>
      </c>
      <c r="CD6" s="614">
        <v>49010</v>
      </c>
      <c r="CE6" s="615">
        <v>30469</v>
      </c>
      <c r="CF6" s="615">
        <v>127401</v>
      </c>
      <c r="CG6" s="616">
        <v>90853</v>
      </c>
      <c r="CH6" s="617">
        <v>18418</v>
      </c>
      <c r="CI6" s="618">
        <v>14613</v>
      </c>
      <c r="CJ6" s="618">
        <v>44066</v>
      </c>
      <c r="CK6" s="619">
        <v>38325</v>
      </c>
      <c r="CL6" s="620">
        <v>103539</v>
      </c>
      <c r="CM6" s="605">
        <v>43536</v>
      </c>
      <c r="CN6" s="605">
        <v>251545</v>
      </c>
      <c r="CO6" s="606">
        <v>156608</v>
      </c>
      <c r="CP6" s="621">
        <f t="shared" ref="CP6:CS38" si="2">SUM(B6+F6+J6+N6+R6+V6+Z6+AD6+AH6+AL6+AP6+AT6+AX6+BB6+BF6+BJ6+BN6+BR6+BV6+BZ6+CD6+CH6+CL6)</f>
        <v>1252702</v>
      </c>
      <c r="CQ6" s="621">
        <f t="shared" si="0"/>
        <v>1038759</v>
      </c>
      <c r="CR6" s="621">
        <f t="shared" si="0"/>
        <v>3555846</v>
      </c>
      <c r="CS6" s="621">
        <f t="shared" si="0"/>
        <v>2977578</v>
      </c>
      <c r="CT6" s="617">
        <v>748615</v>
      </c>
      <c r="CU6" s="618">
        <v>753248</v>
      </c>
      <c r="CV6" s="618">
        <v>2218928</v>
      </c>
      <c r="CW6" s="619">
        <v>2177616</v>
      </c>
      <c r="CX6" s="621">
        <f t="shared" ref="CX6:DA38" si="3">CP6+CT6</f>
        <v>2001317</v>
      </c>
      <c r="CY6" s="621">
        <f t="shared" si="1"/>
        <v>1792007</v>
      </c>
      <c r="CZ6" s="621">
        <f t="shared" si="1"/>
        <v>5774774</v>
      </c>
      <c r="DA6" s="622">
        <f t="shared" si="1"/>
        <v>5155194</v>
      </c>
    </row>
    <row r="7" spans="1:105" x14ac:dyDescent="0.3">
      <c r="A7" s="600" t="s">
        <v>87</v>
      </c>
      <c r="B7" s="601">
        <v>115865</v>
      </c>
      <c r="C7" s="602">
        <v>-10621</v>
      </c>
      <c r="D7" s="602">
        <v>180888</v>
      </c>
      <c r="E7" s="603">
        <v>53324</v>
      </c>
      <c r="F7" s="604">
        <v>148</v>
      </c>
      <c r="G7" s="605">
        <v>491</v>
      </c>
      <c r="H7" s="605">
        <v>595</v>
      </c>
      <c r="I7" s="606">
        <v>2302</v>
      </c>
      <c r="J7" s="604">
        <v>1161</v>
      </c>
      <c r="K7" s="605">
        <v>24099</v>
      </c>
      <c r="L7" s="605">
        <v>7624</v>
      </c>
      <c r="M7" s="606">
        <v>59596</v>
      </c>
      <c r="N7" s="604">
        <v>155664</v>
      </c>
      <c r="O7" s="605">
        <v>83857</v>
      </c>
      <c r="P7" s="605">
        <v>515759</v>
      </c>
      <c r="Q7" s="606">
        <v>226038</v>
      </c>
      <c r="R7" s="604">
        <v>443</v>
      </c>
      <c r="S7" s="605">
        <v>305</v>
      </c>
      <c r="T7" s="605">
        <v>802</v>
      </c>
      <c r="U7" s="606">
        <v>-606</v>
      </c>
      <c r="V7" s="604">
        <v>97508</v>
      </c>
      <c r="W7" s="605">
        <v>83723</v>
      </c>
      <c r="X7" s="605">
        <v>221639</v>
      </c>
      <c r="Y7" s="606">
        <v>190876</v>
      </c>
      <c r="Z7" s="604">
        <v>2045</v>
      </c>
      <c r="AA7" s="605">
        <v>73428</v>
      </c>
      <c r="AB7" s="605">
        <v>14926</v>
      </c>
      <c r="AC7" s="606">
        <v>217246</v>
      </c>
      <c r="AD7" s="604">
        <v>38513</v>
      </c>
      <c r="AE7" s="605">
        <v>14123</v>
      </c>
      <c r="AF7" s="605">
        <v>69457</v>
      </c>
      <c r="AG7" s="606">
        <v>44115</v>
      </c>
      <c r="AH7" s="604"/>
      <c r="AI7" s="605"/>
      <c r="AJ7" s="605"/>
      <c r="AK7" s="606"/>
      <c r="AL7" s="604">
        <v>73944</v>
      </c>
      <c r="AM7" s="605">
        <v>31502</v>
      </c>
      <c r="AN7" s="605">
        <v>149126</v>
      </c>
      <c r="AO7" s="606">
        <v>45426</v>
      </c>
      <c r="AP7" s="604">
        <v>195362</v>
      </c>
      <c r="AQ7" s="605">
        <v>170777</v>
      </c>
      <c r="AR7" s="605">
        <v>619461</v>
      </c>
      <c r="AS7" s="606">
        <v>398673</v>
      </c>
      <c r="AT7" s="604">
        <v>191401</v>
      </c>
      <c r="AU7" s="605">
        <v>141267</v>
      </c>
      <c r="AV7" s="605">
        <v>520004</v>
      </c>
      <c r="AW7" s="606">
        <v>380499</v>
      </c>
      <c r="AX7" s="607">
        <v>2932</v>
      </c>
      <c r="AY7" s="608">
        <v>2217</v>
      </c>
      <c r="AZ7" s="608">
        <v>9101</v>
      </c>
      <c r="BA7" s="609">
        <v>6278</v>
      </c>
      <c r="BB7" s="604">
        <v>19919</v>
      </c>
      <c r="BC7" s="605">
        <v>16279</v>
      </c>
      <c r="BD7" s="605">
        <v>58233</v>
      </c>
      <c r="BE7" s="606">
        <v>39761</v>
      </c>
      <c r="BF7" s="604">
        <v>14507</v>
      </c>
      <c r="BG7" s="605">
        <v>-6683</v>
      </c>
      <c r="BH7" s="605">
        <v>17142</v>
      </c>
      <c r="BI7" s="606">
        <v>27</v>
      </c>
      <c r="BJ7" s="604">
        <v>434466</v>
      </c>
      <c r="BK7" s="605">
        <v>273522</v>
      </c>
      <c r="BL7" s="605">
        <v>1173083</v>
      </c>
      <c r="BM7" s="606">
        <v>755031</v>
      </c>
      <c r="BN7" s="604">
        <v>15777</v>
      </c>
      <c r="BO7" s="605">
        <v>12543</v>
      </c>
      <c r="BP7" s="605">
        <v>31584</v>
      </c>
      <c r="BQ7" s="606">
        <v>32252</v>
      </c>
      <c r="BR7" s="604">
        <v>10765</v>
      </c>
      <c r="BS7" s="605">
        <v>25297</v>
      </c>
      <c r="BT7" s="605">
        <v>96586</v>
      </c>
      <c r="BU7" s="606">
        <v>80285</v>
      </c>
      <c r="BV7" s="610"/>
      <c r="BW7" s="605"/>
      <c r="BX7" s="605"/>
      <c r="BY7" s="606"/>
      <c r="BZ7" s="611">
        <v>168443</v>
      </c>
      <c r="CA7" s="612">
        <v>68143</v>
      </c>
      <c r="CB7" s="612">
        <v>288847</v>
      </c>
      <c r="CC7" s="613">
        <v>181127</v>
      </c>
      <c r="CD7" s="614">
        <v>19715</v>
      </c>
      <c r="CE7" s="615">
        <v>122971</v>
      </c>
      <c r="CF7" s="615">
        <v>133259</v>
      </c>
      <c r="CG7" s="616">
        <v>325862</v>
      </c>
      <c r="CH7" s="617">
        <v>26548</v>
      </c>
      <c r="CI7" s="618">
        <v>33630</v>
      </c>
      <c r="CJ7" s="618">
        <v>132507</v>
      </c>
      <c r="CK7" s="619">
        <v>94005</v>
      </c>
      <c r="CL7" s="620">
        <v>68909</v>
      </c>
      <c r="CM7" s="605">
        <v>32065</v>
      </c>
      <c r="CN7" s="605">
        <v>240439</v>
      </c>
      <c r="CO7" s="606">
        <v>71835</v>
      </c>
      <c r="CP7" s="621">
        <f t="shared" si="2"/>
        <v>1654035</v>
      </c>
      <c r="CQ7" s="621">
        <f t="shared" si="0"/>
        <v>1192935</v>
      </c>
      <c r="CR7" s="621">
        <f t="shared" si="0"/>
        <v>4481062</v>
      </c>
      <c r="CS7" s="621">
        <f t="shared" si="0"/>
        <v>3203952</v>
      </c>
      <c r="CT7" s="617">
        <v>85452</v>
      </c>
      <c r="CU7" s="618">
        <v>83208</v>
      </c>
      <c r="CV7" s="618">
        <v>190083</v>
      </c>
      <c r="CW7" s="619">
        <v>175411</v>
      </c>
      <c r="CX7" s="621">
        <f t="shared" si="3"/>
        <v>1739487</v>
      </c>
      <c r="CY7" s="621">
        <f t="shared" si="1"/>
        <v>1276143</v>
      </c>
      <c r="CZ7" s="621">
        <f t="shared" si="1"/>
        <v>4671145</v>
      </c>
      <c r="DA7" s="622">
        <f t="shared" si="1"/>
        <v>3379363</v>
      </c>
    </row>
    <row r="8" spans="1:105" x14ac:dyDescent="0.3">
      <c r="A8" s="600" t="s">
        <v>88</v>
      </c>
      <c r="B8" s="601">
        <v>129987</v>
      </c>
      <c r="C8" s="602">
        <v>98425</v>
      </c>
      <c r="D8" s="602">
        <v>399028</v>
      </c>
      <c r="E8" s="603">
        <v>361614</v>
      </c>
      <c r="F8" s="604">
        <v>20346</v>
      </c>
      <c r="G8" s="605">
        <v>31312</v>
      </c>
      <c r="H8" s="605">
        <v>62660</v>
      </c>
      <c r="I8" s="606">
        <v>96406</v>
      </c>
      <c r="J8" s="604">
        <v>79022</v>
      </c>
      <c r="K8" s="605">
        <v>99665</v>
      </c>
      <c r="L8" s="605">
        <v>262804</v>
      </c>
      <c r="M8" s="606">
        <v>292654</v>
      </c>
      <c r="N8" s="604">
        <v>66922</v>
      </c>
      <c r="O8" s="605">
        <v>62923</v>
      </c>
      <c r="P8" s="623">
        <v>185721</v>
      </c>
      <c r="Q8" s="606">
        <v>192219</v>
      </c>
      <c r="R8" s="604">
        <v>59408</v>
      </c>
      <c r="S8" s="605">
        <v>54972</v>
      </c>
      <c r="T8" s="605">
        <v>165239</v>
      </c>
      <c r="U8" s="606">
        <v>148509</v>
      </c>
      <c r="V8" s="604">
        <v>47426</v>
      </c>
      <c r="W8" s="605">
        <v>40491</v>
      </c>
      <c r="X8" s="605">
        <v>152755</v>
      </c>
      <c r="Y8" s="606">
        <v>162099</v>
      </c>
      <c r="Z8" s="604">
        <v>45555</v>
      </c>
      <c r="AA8" s="605">
        <v>39743</v>
      </c>
      <c r="AB8" s="605">
        <v>132868</v>
      </c>
      <c r="AC8" s="606">
        <v>109705</v>
      </c>
      <c r="AD8" s="604">
        <v>50362</v>
      </c>
      <c r="AE8" s="605">
        <v>57524</v>
      </c>
      <c r="AF8" s="605">
        <v>162221</v>
      </c>
      <c r="AG8" s="606">
        <v>162355</v>
      </c>
      <c r="AH8" s="604">
        <v>91256</v>
      </c>
      <c r="AI8" s="605">
        <v>90916</v>
      </c>
      <c r="AJ8" s="605">
        <v>268707</v>
      </c>
      <c r="AK8" s="606">
        <v>261264</v>
      </c>
      <c r="AL8" s="604">
        <v>65565</v>
      </c>
      <c r="AM8" s="605">
        <v>57490</v>
      </c>
      <c r="AN8" s="605">
        <v>183381</v>
      </c>
      <c r="AO8" s="606">
        <v>184726</v>
      </c>
      <c r="AP8" s="604">
        <v>203370</v>
      </c>
      <c r="AQ8" s="605">
        <v>189654</v>
      </c>
      <c r="AR8" s="605">
        <v>594303</v>
      </c>
      <c r="AS8" s="606">
        <v>566367</v>
      </c>
      <c r="AT8" s="604">
        <v>371188</v>
      </c>
      <c r="AU8" s="605">
        <v>318023</v>
      </c>
      <c r="AV8" s="605">
        <v>1026607</v>
      </c>
      <c r="AW8" s="606">
        <v>855912</v>
      </c>
      <c r="AX8" s="607">
        <v>16562</v>
      </c>
      <c r="AY8" s="608">
        <v>15643</v>
      </c>
      <c r="AZ8" s="608">
        <v>49483</v>
      </c>
      <c r="BA8" s="609">
        <v>47995</v>
      </c>
      <c r="BB8" s="604">
        <v>26036</v>
      </c>
      <c r="BC8" s="605">
        <v>22007</v>
      </c>
      <c r="BD8" s="605">
        <v>71985</v>
      </c>
      <c r="BE8" s="606">
        <v>93782</v>
      </c>
      <c r="BF8" s="604">
        <v>134332</v>
      </c>
      <c r="BG8" s="605">
        <v>121407</v>
      </c>
      <c r="BH8" s="605">
        <v>374696</v>
      </c>
      <c r="BI8" s="606">
        <v>358671</v>
      </c>
      <c r="BJ8" s="604">
        <v>197018</v>
      </c>
      <c r="BK8" s="605">
        <v>174489</v>
      </c>
      <c r="BL8" s="605">
        <v>564460</v>
      </c>
      <c r="BM8" s="606">
        <v>508874</v>
      </c>
      <c r="BN8" s="604">
        <v>90769</v>
      </c>
      <c r="BO8" s="605">
        <v>100333</v>
      </c>
      <c r="BP8" s="605">
        <v>304252</v>
      </c>
      <c r="BQ8" s="606">
        <v>302781</v>
      </c>
      <c r="BR8" s="604">
        <v>95084</v>
      </c>
      <c r="BS8" s="605">
        <v>120642</v>
      </c>
      <c r="BT8" s="605">
        <v>352674</v>
      </c>
      <c r="BU8" s="606">
        <v>380727</v>
      </c>
      <c r="BV8" s="610"/>
      <c r="BW8" s="605"/>
      <c r="BX8" s="605"/>
      <c r="BY8" s="606"/>
      <c r="BZ8" s="611">
        <v>128200</v>
      </c>
      <c r="CA8" s="612">
        <v>150265</v>
      </c>
      <c r="CB8" s="612">
        <v>470241</v>
      </c>
      <c r="CC8" s="613">
        <v>448529</v>
      </c>
      <c r="CD8" s="614">
        <v>61602</v>
      </c>
      <c r="CE8" s="615">
        <v>75924</v>
      </c>
      <c r="CF8" s="615">
        <v>201041</v>
      </c>
      <c r="CG8" s="616">
        <v>228500</v>
      </c>
      <c r="CH8" s="617">
        <v>36274</v>
      </c>
      <c r="CI8" s="618">
        <v>33143</v>
      </c>
      <c r="CJ8" s="618">
        <v>105131</v>
      </c>
      <c r="CK8" s="619">
        <v>101366</v>
      </c>
      <c r="CL8" s="620">
        <v>71961</v>
      </c>
      <c r="CM8" s="605">
        <v>57487</v>
      </c>
      <c r="CN8" s="605">
        <v>200010</v>
      </c>
      <c r="CO8" s="606">
        <v>176805</v>
      </c>
      <c r="CP8" s="621">
        <f t="shared" si="2"/>
        <v>2088245</v>
      </c>
      <c r="CQ8" s="621">
        <f t="shared" si="0"/>
        <v>2012478</v>
      </c>
      <c r="CR8" s="621">
        <f t="shared" si="0"/>
        <v>6290267</v>
      </c>
      <c r="CS8" s="621">
        <f t="shared" si="0"/>
        <v>6041860</v>
      </c>
      <c r="CT8" s="617">
        <v>1272955</v>
      </c>
      <c r="CU8" s="618">
        <v>1178643</v>
      </c>
      <c r="CV8" s="618">
        <v>3686468</v>
      </c>
      <c r="CW8" s="619">
        <v>3427927</v>
      </c>
      <c r="CX8" s="621">
        <f t="shared" si="3"/>
        <v>3361200</v>
      </c>
      <c r="CY8" s="621">
        <f t="shared" si="1"/>
        <v>3191121</v>
      </c>
      <c r="CZ8" s="621">
        <f t="shared" si="1"/>
        <v>9976735</v>
      </c>
      <c r="DA8" s="622">
        <f t="shared" si="1"/>
        <v>9469787</v>
      </c>
    </row>
    <row r="9" spans="1:105" x14ac:dyDescent="0.3">
      <c r="A9" s="600" t="s">
        <v>89</v>
      </c>
      <c r="B9" s="601">
        <v>63055</v>
      </c>
      <c r="C9" s="602">
        <v>68116</v>
      </c>
      <c r="D9" s="602">
        <v>188629</v>
      </c>
      <c r="E9" s="603">
        <v>205301</v>
      </c>
      <c r="F9" s="604">
        <v>791</v>
      </c>
      <c r="G9" s="605">
        <v>282</v>
      </c>
      <c r="H9" s="605">
        <v>3902</v>
      </c>
      <c r="I9" s="606">
        <v>3616</v>
      </c>
      <c r="J9" s="604">
        <v>31579</v>
      </c>
      <c r="K9" s="605">
        <v>40026</v>
      </c>
      <c r="L9" s="605">
        <v>90189</v>
      </c>
      <c r="M9" s="606">
        <v>130167</v>
      </c>
      <c r="N9" s="604">
        <v>18125</v>
      </c>
      <c r="O9" s="605">
        <v>23087</v>
      </c>
      <c r="P9" s="605">
        <v>81078</v>
      </c>
      <c r="Q9" s="606">
        <v>81145</v>
      </c>
      <c r="R9" s="604">
        <v>5602</v>
      </c>
      <c r="S9" s="605">
        <v>3662</v>
      </c>
      <c r="T9" s="605">
        <v>14479</v>
      </c>
      <c r="U9" s="606">
        <v>12396</v>
      </c>
      <c r="V9" s="604">
        <v>12528</v>
      </c>
      <c r="W9" s="605">
        <v>7664</v>
      </c>
      <c r="X9" s="605">
        <v>36858</v>
      </c>
      <c r="Y9" s="606">
        <v>25600</v>
      </c>
      <c r="Z9" s="604">
        <v>21450</v>
      </c>
      <c r="AA9" s="605">
        <v>15389</v>
      </c>
      <c r="AB9" s="605">
        <v>59027</v>
      </c>
      <c r="AC9" s="606">
        <v>57472</v>
      </c>
      <c r="AD9" s="604">
        <v>30169</v>
      </c>
      <c r="AE9" s="605">
        <v>22368</v>
      </c>
      <c r="AF9" s="605">
        <v>75675</v>
      </c>
      <c r="AG9" s="606">
        <v>54326</v>
      </c>
      <c r="AH9" s="604">
        <v>88864</v>
      </c>
      <c r="AI9" s="605">
        <v>113441</v>
      </c>
      <c r="AJ9" s="605">
        <v>291814</v>
      </c>
      <c r="AK9" s="606">
        <v>280355</v>
      </c>
      <c r="AL9" s="604">
        <v>27271</v>
      </c>
      <c r="AM9" s="605">
        <v>22205</v>
      </c>
      <c r="AN9" s="605">
        <v>78779</v>
      </c>
      <c r="AO9" s="606">
        <v>68837</v>
      </c>
      <c r="AP9" s="604">
        <v>14410</v>
      </c>
      <c r="AQ9" s="605">
        <v>10216</v>
      </c>
      <c r="AR9" s="605">
        <v>52649</v>
      </c>
      <c r="AS9" s="606">
        <v>31262</v>
      </c>
      <c r="AT9" s="604">
        <v>91506</v>
      </c>
      <c r="AU9" s="605">
        <v>81119</v>
      </c>
      <c r="AV9" s="605">
        <v>253932</v>
      </c>
      <c r="AW9" s="606">
        <v>239634</v>
      </c>
      <c r="AX9" s="607">
        <v>421</v>
      </c>
      <c r="AY9" s="608">
        <v>746</v>
      </c>
      <c r="AZ9" s="608">
        <v>985</v>
      </c>
      <c r="BA9" s="609">
        <v>1816</v>
      </c>
      <c r="BB9" s="604">
        <v>7823</v>
      </c>
      <c r="BC9" s="605">
        <v>7090</v>
      </c>
      <c r="BD9" s="605">
        <v>22035</v>
      </c>
      <c r="BE9" s="606">
        <v>21343</v>
      </c>
      <c r="BF9" s="604">
        <v>55422</v>
      </c>
      <c r="BG9" s="605">
        <v>43554</v>
      </c>
      <c r="BH9" s="605">
        <v>159692</v>
      </c>
      <c r="BI9" s="606">
        <v>150263</v>
      </c>
      <c r="BJ9" s="604">
        <v>88476</v>
      </c>
      <c r="BK9" s="605">
        <v>68767</v>
      </c>
      <c r="BL9" s="605">
        <v>252302</v>
      </c>
      <c r="BM9" s="606">
        <v>200911</v>
      </c>
      <c r="BN9" s="604">
        <v>5046</v>
      </c>
      <c r="BO9" s="605">
        <v>25196</v>
      </c>
      <c r="BP9" s="605">
        <v>22920</v>
      </c>
      <c r="BQ9" s="606">
        <v>51337</v>
      </c>
      <c r="BR9" s="604">
        <v>1942</v>
      </c>
      <c r="BS9" s="605">
        <v>1833</v>
      </c>
      <c r="BT9" s="605">
        <v>12852</v>
      </c>
      <c r="BU9" s="606">
        <v>4035</v>
      </c>
      <c r="BV9" s="610"/>
      <c r="BW9" s="605"/>
      <c r="BX9" s="605"/>
      <c r="BY9" s="606"/>
      <c r="BZ9" s="611">
        <v>134986</v>
      </c>
      <c r="CA9" s="612">
        <v>137922</v>
      </c>
      <c r="CB9" s="612">
        <v>414328</v>
      </c>
      <c r="CC9" s="613">
        <v>403046</v>
      </c>
      <c r="CD9" s="614">
        <v>1262</v>
      </c>
      <c r="CE9" s="615">
        <v>731</v>
      </c>
      <c r="CF9" s="615">
        <v>2314</v>
      </c>
      <c r="CG9" s="616">
        <v>2877</v>
      </c>
      <c r="CH9" s="617">
        <v>36640</v>
      </c>
      <c r="CI9" s="618">
        <v>29253</v>
      </c>
      <c r="CJ9" s="618">
        <v>98343</v>
      </c>
      <c r="CK9" s="619">
        <v>80699</v>
      </c>
      <c r="CL9" s="620">
        <v>55601</v>
      </c>
      <c r="CM9" s="605">
        <v>40181</v>
      </c>
      <c r="CN9" s="605">
        <v>157440</v>
      </c>
      <c r="CO9" s="606">
        <v>115416</v>
      </c>
      <c r="CP9" s="621">
        <f t="shared" si="2"/>
        <v>792969</v>
      </c>
      <c r="CQ9" s="621">
        <f t="shared" si="0"/>
        <v>762848</v>
      </c>
      <c r="CR9" s="621">
        <f t="shared" si="0"/>
        <v>2370222</v>
      </c>
      <c r="CS9" s="621">
        <f t="shared" si="0"/>
        <v>2221854</v>
      </c>
      <c r="CT9" s="617">
        <v>240927</v>
      </c>
      <c r="CU9" s="618">
        <v>228719</v>
      </c>
      <c r="CV9" s="618">
        <v>649562</v>
      </c>
      <c r="CW9" s="619">
        <v>638558</v>
      </c>
      <c r="CX9" s="621">
        <f t="shared" si="3"/>
        <v>1033896</v>
      </c>
      <c r="CY9" s="621">
        <f t="shared" si="1"/>
        <v>991567</v>
      </c>
      <c r="CZ9" s="621">
        <f t="shared" si="1"/>
        <v>3019784</v>
      </c>
      <c r="DA9" s="622">
        <f t="shared" si="1"/>
        <v>2860412</v>
      </c>
    </row>
    <row r="10" spans="1:105" ht="17.25" x14ac:dyDescent="0.35">
      <c r="A10" s="600" t="s">
        <v>90</v>
      </c>
      <c r="B10" s="621">
        <v>17184</v>
      </c>
      <c r="C10" s="624">
        <v>15904</v>
      </c>
      <c r="D10" s="624">
        <v>50168</v>
      </c>
      <c r="E10" s="625">
        <v>36878</v>
      </c>
      <c r="F10" s="626">
        <v>1980</v>
      </c>
      <c r="G10" s="627">
        <v>2105</v>
      </c>
      <c r="H10" s="627">
        <v>5992</v>
      </c>
      <c r="I10" s="628">
        <v>7096</v>
      </c>
      <c r="J10" s="626">
        <v>4555</v>
      </c>
      <c r="K10" s="627">
        <v>7442</v>
      </c>
      <c r="L10" s="627">
        <v>17316</v>
      </c>
      <c r="M10" s="628">
        <v>24452</v>
      </c>
      <c r="N10" s="626">
        <v>16207</v>
      </c>
      <c r="O10" s="627">
        <v>31365</v>
      </c>
      <c r="P10" s="623">
        <v>59456</v>
      </c>
      <c r="Q10" s="628">
        <v>68754</v>
      </c>
      <c r="R10" s="626">
        <v>9183</v>
      </c>
      <c r="S10" s="627">
        <v>5453</v>
      </c>
      <c r="T10" s="627">
        <v>26835</v>
      </c>
      <c r="U10" s="628">
        <v>21529</v>
      </c>
      <c r="V10" s="626">
        <v>10103</v>
      </c>
      <c r="W10" s="627">
        <v>12335</v>
      </c>
      <c r="X10" s="627">
        <v>24312</v>
      </c>
      <c r="Y10" s="628">
        <v>27188</v>
      </c>
      <c r="Z10" s="626">
        <v>1177</v>
      </c>
      <c r="AA10" s="627">
        <v>3571</v>
      </c>
      <c r="AB10" s="627">
        <v>5255</v>
      </c>
      <c r="AC10" s="628">
        <v>8976</v>
      </c>
      <c r="AD10" s="626">
        <v>6434</v>
      </c>
      <c r="AE10" s="627">
        <v>5426</v>
      </c>
      <c r="AF10" s="627">
        <v>14365</v>
      </c>
      <c r="AG10" s="628">
        <v>15034</v>
      </c>
      <c r="AH10" s="626">
        <v>10145</v>
      </c>
      <c r="AI10" s="627">
        <v>6901</v>
      </c>
      <c r="AJ10" s="627">
        <v>29649</v>
      </c>
      <c r="AK10" s="628">
        <v>23644</v>
      </c>
      <c r="AL10" s="626">
        <v>3228</v>
      </c>
      <c r="AM10" s="627">
        <v>3591</v>
      </c>
      <c r="AN10" s="627">
        <v>12348</v>
      </c>
      <c r="AO10" s="628">
        <v>13994</v>
      </c>
      <c r="AP10" s="626">
        <v>20418</v>
      </c>
      <c r="AQ10" s="627">
        <v>26069</v>
      </c>
      <c r="AR10" s="627">
        <v>74758</v>
      </c>
      <c r="AS10" s="628">
        <v>67656</v>
      </c>
      <c r="AT10" s="626">
        <v>14012</v>
      </c>
      <c r="AU10" s="627">
        <v>12654</v>
      </c>
      <c r="AV10" s="627">
        <v>57702</v>
      </c>
      <c r="AW10" s="628">
        <v>43660</v>
      </c>
      <c r="AX10" s="607">
        <v>4403</v>
      </c>
      <c r="AY10" s="608">
        <v>8915</v>
      </c>
      <c r="AZ10" s="608">
        <v>17035</v>
      </c>
      <c r="BA10" s="609">
        <v>22633</v>
      </c>
      <c r="BB10" s="626">
        <v>4641</v>
      </c>
      <c r="BC10" s="627">
        <v>3722</v>
      </c>
      <c r="BD10" s="627">
        <v>11958</v>
      </c>
      <c r="BE10" s="628">
        <v>13859</v>
      </c>
      <c r="BF10" s="629">
        <v>33656</v>
      </c>
      <c r="BG10" s="630">
        <v>14072</v>
      </c>
      <c r="BH10" s="630">
        <v>99287</v>
      </c>
      <c r="BI10" s="631">
        <v>53109</v>
      </c>
      <c r="BJ10" s="626">
        <v>25317</v>
      </c>
      <c r="BK10" s="627">
        <v>18469</v>
      </c>
      <c r="BL10" s="627">
        <v>54123</v>
      </c>
      <c r="BM10" s="628">
        <v>45544</v>
      </c>
      <c r="BN10" s="626">
        <v>9003</v>
      </c>
      <c r="BO10" s="627">
        <v>9527</v>
      </c>
      <c r="BP10" s="627">
        <v>22669</v>
      </c>
      <c r="BQ10" s="628">
        <v>28104</v>
      </c>
      <c r="BR10" s="626">
        <v>22223</v>
      </c>
      <c r="BS10" s="627">
        <v>12801</v>
      </c>
      <c r="BT10" s="627">
        <v>50717</v>
      </c>
      <c r="BU10" s="628">
        <v>38454</v>
      </c>
      <c r="BV10" s="610"/>
      <c r="BW10" s="605"/>
      <c r="BX10" s="605"/>
      <c r="BY10" s="606"/>
      <c r="BZ10" s="611">
        <v>4897</v>
      </c>
      <c r="CA10" s="612">
        <v>28985</v>
      </c>
      <c r="CB10" s="612">
        <v>90775</v>
      </c>
      <c r="CC10" s="613">
        <v>83803</v>
      </c>
      <c r="CD10" s="614">
        <v>19556</v>
      </c>
      <c r="CE10" s="615">
        <v>25935</v>
      </c>
      <c r="CF10" s="615">
        <v>89357</v>
      </c>
      <c r="CG10" s="616">
        <v>58600</v>
      </c>
      <c r="CH10" s="617">
        <v>3346</v>
      </c>
      <c r="CI10" s="618">
        <v>3448</v>
      </c>
      <c r="CJ10" s="618">
        <v>9380</v>
      </c>
      <c r="CK10" s="619">
        <v>10726</v>
      </c>
      <c r="CL10" s="632">
        <v>11318</v>
      </c>
      <c r="CM10" s="627">
        <v>8567</v>
      </c>
      <c r="CN10" s="627">
        <v>31942</v>
      </c>
      <c r="CO10" s="628">
        <v>28323</v>
      </c>
      <c r="CP10" s="621">
        <f t="shared" si="2"/>
        <v>252986</v>
      </c>
      <c r="CQ10" s="621">
        <f t="shared" si="0"/>
        <v>267257</v>
      </c>
      <c r="CR10" s="621">
        <f t="shared" si="0"/>
        <v>855399</v>
      </c>
      <c r="CS10" s="621">
        <f t="shared" si="0"/>
        <v>742016</v>
      </c>
      <c r="CT10" s="632">
        <v>336752</v>
      </c>
      <c r="CU10" s="627">
        <v>318791</v>
      </c>
      <c r="CV10" s="627">
        <v>1561162</v>
      </c>
      <c r="CW10" s="628">
        <v>1517383</v>
      </c>
      <c r="CX10" s="621">
        <f t="shared" si="3"/>
        <v>589738</v>
      </c>
      <c r="CY10" s="621">
        <f t="shared" si="1"/>
        <v>586048</v>
      </c>
      <c r="CZ10" s="621">
        <f t="shared" si="1"/>
        <v>2416561</v>
      </c>
      <c r="DA10" s="622">
        <f t="shared" si="1"/>
        <v>2259399</v>
      </c>
    </row>
    <row r="11" spans="1:105" ht="17.25" x14ac:dyDescent="0.35">
      <c r="A11" s="600" t="s">
        <v>91</v>
      </c>
      <c r="B11" s="601">
        <v>29691</v>
      </c>
      <c r="C11" s="602">
        <v>25521</v>
      </c>
      <c r="D11" s="602">
        <v>78823</v>
      </c>
      <c r="E11" s="603">
        <v>73681</v>
      </c>
      <c r="F11" s="604">
        <v>2536</v>
      </c>
      <c r="G11" s="605">
        <v>5139</v>
      </c>
      <c r="H11" s="605">
        <v>12383</v>
      </c>
      <c r="I11" s="606">
        <v>14031</v>
      </c>
      <c r="J11" s="604">
        <v>14023</v>
      </c>
      <c r="K11" s="605">
        <v>11902</v>
      </c>
      <c r="L11" s="605">
        <v>36138</v>
      </c>
      <c r="M11" s="606">
        <v>41094</v>
      </c>
      <c r="N11" s="604">
        <v>358270</v>
      </c>
      <c r="O11" s="605">
        <v>178304</v>
      </c>
      <c r="P11" s="627">
        <v>773579</v>
      </c>
      <c r="Q11" s="606">
        <v>401149</v>
      </c>
      <c r="R11" s="604">
        <v>2165</v>
      </c>
      <c r="S11" s="605">
        <v>5790</v>
      </c>
      <c r="T11" s="605">
        <v>17355</v>
      </c>
      <c r="U11" s="606">
        <v>20297</v>
      </c>
      <c r="V11" s="604">
        <v>49629</v>
      </c>
      <c r="W11" s="605">
        <v>25406</v>
      </c>
      <c r="X11" s="605">
        <v>126021</v>
      </c>
      <c r="Y11" s="606">
        <v>76573</v>
      </c>
      <c r="Z11" s="604">
        <v>9427</v>
      </c>
      <c r="AA11" s="605">
        <v>17070</v>
      </c>
      <c r="AB11" s="605">
        <v>32917</v>
      </c>
      <c r="AC11" s="606">
        <v>42186</v>
      </c>
      <c r="AD11" s="604">
        <v>19328</v>
      </c>
      <c r="AE11" s="605">
        <v>15547</v>
      </c>
      <c r="AF11" s="605">
        <v>56770</v>
      </c>
      <c r="AG11" s="606">
        <v>41626</v>
      </c>
      <c r="AH11" s="604">
        <v>8292</v>
      </c>
      <c r="AI11" s="605">
        <v>9704</v>
      </c>
      <c r="AJ11" s="605">
        <v>42215</v>
      </c>
      <c r="AK11" s="606">
        <v>42911</v>
      </c>
      <c r="AL11" s="604">
        <v>15051</v>
      </c>
      <c r="AM11" s="605">
        <v>9383</v>
      </c>
      <c r="AN11" s="605">
        <v>46438</v>
      </c>
      <c r="AO11" s="606">
        <v>36916</v>
      </c>
      <c r="AP11" s="604">
        <v>66813</v>
      </c>
      <c r="AQ11" s="605">
        <v>62489</v>
      </c>
      <c r="AR11" s="605">
        <v>206181</v>
      </c>
      <c r="AS11" s="606">
        <v>176175</v>
      </c>
      <c r="AT11" s="604">
        <v>218028</v>
      </c>
      <c r="AU11" s="605">
        <v>231305</v>
      </c>
      <c r="AV11" s="605">
        <v>718150</v>
      </c>
      <c r="AW11" s="606">
        <v>640472</v>
      </c>
      <c r="AX11" s="604">
        <v>9747</v>
      </c>
      <c r="AY11" s="605">
        <v>10377</v>
      </c>
      <c r="AZ11" s="605">
        <v>28081</v>
      </c>
      <c r="BA11" s="606">
        <v>32552</v>
      </c>
      <c r="BB11" s="604">
        <v>15170</v>
      </c>
      <c r="BC11" s="605">
        <v>15904</v>
      </c>
      <c r="BD11" s="605">
        <v>44440</v>
      </c>
      <c r="BE11" s="606">
        <v>50670</v>
      </c>
      <c r="BF11" s="604">
        <v>28188</v>
      </c>
      <c r="BG11" s="605">
        <v>31834</v>
      </c>
      <c r="BH11" s="605">
        <v>85745</v>
      </c>
      <c r="BI11" s="606">
        <v>97757</v>
      </c>
      <c r="BJ11" s="604">
        <v>165169</v>
      </c>
      <c r="BK11" s="605">
        <v>92560</v>
      </c>
      <c r="BL11" s="605">
        <v>500779</v>
      </c>
      <c r="BM11" s="606">
        <v>260506</v>
      </c>
      <c r="BN11" s="604">
        <v>33324</v>
      </c>
      <c r="BO11" s="605">
        <v>36350</v>
      </c>
      <c r="BP11" s="605">
        <v>92330</v>
      </c>
      <c r="BQ11" s="606">
        <v>113479</v>
      </c>
      <c r="BR11" s="604">
        <v>32258</v>
      </c>
      <c r="BS11" s="605">
        <v>30025</v>
      </c>
      <c r="BT11" s="605">
        <v>101628</v>
      </c>
      <c r="BU11" s="606">
        <v>101028</v>
      </c>
      <c r="BV11" s="610"/>
      <c r="BW11" s="605"/>
      <c r="BX11" s="605"/>
      <c r="BY11" s="606"/>
      <c r="BZ11" s="611">
        <v>107735</v>
      </c>
      <c r="CA11" s="612">
        <v>114773</v>
      </c>
      <c r="CB11" s="612">
        <v>380586</v>
      </c>
      <c r="CC11" s="613">
        <v>323622</v>
      </c>
      <c r="CD11" s="614">
        <v>14403</v>
      </c>
      <c r="CE11" s="615">
        <v>7568</v>
      </c>
      <c r="CF11" s="615">
        <v>38244</v>
      </c>
      <c r="CG11" s="616">
        <v>25401</v>
      </c>
      <c r="CH11" s="617">
        <v>6574</v>
      </c>
      <c r="CI11" s="618">
        <v>7599</v>
      </c>
      <c r="CJ11" s="618">
        <v>19523</v>
      </c>
      <c r="CK11" s="619">
        <v>22875</v>
      </c>
      <c r="CL11" s="620">
        <v>44729</v>
      </c>
      <c r="CM11" s="605">
        <v>39365</v>
      </c>
      <c r="CN11" s="605">
        <v>127230</v>
      </c>
      <c r="CO11" s="606">
        <v>106533</v>
      </c>
      <c r="CP11" s="621">
        <f t="shared" si="2"/>
        <v>1250550</v>
      </c>
      <c r="CQ11" s="621">
        <f t="shared" si="0"/>
        <v>983915</v>
      </c>
      <c r="CR11" s="621">
        <f t="shared" si="0"/>
        <v>3565556</v>
      </c>
      <c r="CS11" s="621">
        <f t="shared" si="0"/>
        <v>2741534</v>
      </c>
      <c r="CT11" s="617">
        <v>588030</v>
      </c>
      <c r="CU11" s="618">
        <v>651992</v>
      </c>
      <c r="CV11" s="618">
        <v>1932646</v>
      </c>
      <c r="CW11" s="619">
        <v>2034517</v>
      </c>
      <c r="CX11" s="621">
        <f t="shared" si="3"/>
        <v>1838580</v>
      </c>
      <c r="CY11" s="621">
        <f t="shared" si="1"/>
        <v>1635907</v>
      </c>
      <c r="CZ11" s="621">
        <f t="shared" si="1"/>
        <v>5498202</v>
      </c>
      <c r="DA11" s="622">
        <f t="shared" si="1"/>
        <v>4776051</v>
      </c>
    </row>
    <row r="12" spans="1:105" x14ac:dyDescent="0.3">
      <c r="A12" s="600" t="s">
        <v>92</v>
      </c>
      <c r="B12" s="601">
        <v>21706</v>
      </c>
      <c r="C12" s="602">
        <v>28851</v>
      </c>
      <c r="D12" s="602">
        <v>93221</v>
      </c>
      <c r="E12" s="603">
        <v>97161</v>
      </c>
      <c r="F12" s="604">
        <v>12220</v>
      </c>
      <c r="G12" s="605">
        <v>10987</v>
      </c>
      <c r="H12" s="605">
        <v>39003</v>
      </c>
      <c r="I12" s="606">
        <v>27714</v>
      </c>
      <c r="J12" s="604">
        <v>34513</v>
      </c>
      <c r="K12" s="605">
        <v>22661</v>
      </c>
      <c r="L12" s="605">
        <v>119343</v>
      </c>
      <c r="M12" s="606">
        <v>68609</v>
      </c>
      <c r="N12" s="604">
        <v>82583</v>
      </c>
      <c r="O12" s="605">
        <v>31175</v>
      </c>
      <c r="P12" s="605">
        <v>199943</v>
      </c>
      <c r="Q12" s="606">
        <v>65784</v>
      </c>
      <c r="R12" s="604">
        <v>48008</v>
      </c>
      <c r="S12" s="605">
        <v>31588</v>
      </c>
      <c r="T12" s="605">
        <v>131008</v>
      </c>
      <c r="U12" s="606">
        <v>86535</v>
      </c>
      <c r="V12" s="604">
        <v>26229</v>
      </c>
      <c r="W12" s="605">
        <v>12742</v>
      </c>
      <c r="X12" s="605">
        <v>79532</v>
      </c>
      <c r="Y12" s="606">
        <v>46138</v>
      </c>
      <c r="Z12" s="604">
        <v>52146</v>
      </c>
      <c r="AA12" s="605">
        <v>65220</v>
      </c>
      <c r="AB12" s="605">
        <v>170360</v>
      </c>
      <c r="AC12" s="606">
        <v>149884</v>
      </c>
      <c r="AD12" s="604">
        <v>14492</v>
      </c>
      <c r="AE12" s="605">
        <v>28313</v>
      </c>
      <c r="AF12" s="605">
        <v>54189</v>
      </c>
      <c r="AG12" s="606">
        <v>61972</v>
      </c>
      <c r="AH12" s="604">
        <f>2480+139023</f>
        <v>141503</v>
      </c>
      <c r="AI12" s="605">
        <f>8761+144835</f>
        <v>153596</v>
      </c>
      <c r="AJ12" s="605">
        <f>5795+389328</f>
        <v>395123</v>
      </c>
      <c r="AK12" s="606">
        <f>28230+317998</f>
        <v>346228</v>
      </c>
      <c r="AL12" s="604">
        <v>265571</v>
      </c>
      <c r="AM12" s="605">
        <v>196985</v>
      </c>
      <c r="AN12" s="605">
        <v>784073</v>
      </c>
      <c r="AO12" s="606">
        <v>559384</v>
      </c>
      <c r="AP12" s="604">
        <v>511481</v>
      </c>
      <c r="AQ12" s="605">
        <v>302288</v>
      </c>
      <c r="AR12" s="605">
        <v>1385171</v>
      </c>
      <c r="AS12" s="606">
        <v>823539</v>
      </c>
      <c r="AT12" s="604">
        <v>138070</v>
      </c>
      <c r="AU12" s="605">
        <v>153846</v>
      </c>
      <c r="AV12" s="605">
        <v>813540</v>
      </c>
      <c r="AW12" s="606">
        <v>478452</v>
      </c>
      <c r="AX12" s="604">
        <v>44952</v>
      </c>
      <c r="AY12" s="605">
        <v>38683</v>
      </c>
      <c r="AZ12" s="605">
        <v>125921</v>
      </c>
      <c r="BA12" s="606">
        <v>128393</v>
      </c>
      <c r="BB12" s="604">
        <v>15618</v>
      </c>
      <c r="BC12" s="605">
        <v>17364</v>
      </c>
      <c r="BD12" s="605">
        <v>42104</v>
      </c>
      <c r="BE12" s="606">
        <v>47668</v>
      </c>
      <c r="BF12" s="604">
        <v>41675</v>
      </c>
      <c r="BG12" s="605">
        <v>39644</v>
      </c>
      <c r="BH12" s="605">
        <v>136159</v>
      </c>
      <c r="BI12" s="606">
        <v>128291</v>
      </c>
      <c r="BJ12" s="604">
        <f>110821+58653</f>
        <v>169474</v>
      </c>
      <c r="BK12" s="605">
        <v>48051</v>
      </c>
      <c r="BL12" s="605">
        <v>262346</v>
      </c>
      <c r="BM12" s="606">
        <v>147115</v>
      </c>
      <c r="BN12" s="604">
        <v>25937</v>
      </c>
      <c r="BO12" s="605">
        <v>22100</v>
      </c>
      <c r="BP12" s="605">
        <v>79412</v>
      </c>
      <c r="BQ12" s="606">
        <v>75767</v>
      </c>
      <c r="BR12" s="604">
        <v>85138</v>
      </c>
      <c r="BS12" s="605">
        <v>62625</v>
      </c>
      <c r="BT12" s="605">
        <v>219255</v>
      </c>
      <c r="BU12" s="606">
        <v>186908</v>
      </c>
      <c r="BV12" s="610"/>
      <c r="BW12" s="605"/>
      <c r="BX12" s="605"/>
      <c r="BY12" s="606"/>
      <c r="BZ12" s="611">
        <v>305826</v>
      </c>
      <c r="CA12" s="612">
        <v>217005</v>
      </c>
      <c r="CB12" s="612">
        <v>833658</v>
      </c>
      <c r="CC12" s="613">
        <v>631792</v>
      </c>
      <c r="CD12" s="614">
        <v>144584</v>
      </c>
      <c r="CE12" s="615">
        <v>58191</v>
      </c>
      <c r="CF12" s="615">
        <v>246227</v>
      </c>
      <c r="CG12" s="616">
        <v>109298</v>
      </c>
      <c r="CH12" s="617">
        <v>18301</v>
      </c>
      <c r="CI12" s="618">
        <v>16870</v>
      </c>
      <c r="CJ12" s="618">
        <v>49063</v>
      </c>
      <c r="CK12" s="619">
        <v>49621</v>
      </c>
      <c r="CL12" s="620">
        <v>450898</v>
      </c>
      <c r="CM12" s="605">
        <v>342931</v>
      </c>
      <c r="CN12" s="605">
        <v>1144122</v>
      </c>
      <c r="CO12" s="606">
        <v>809146</v>
      </c>
      <c r="CP12" s="621">
        <f t="shared" si="2"/>
        <v>2650925</v>
      </c>
      <c r="CQ12" s="621">
        <f t="shared" si="0"/>
        <v>1901716</v>
      </c>
      <c r="CR12" s="621">
        <f t="shared" si="0"/>
        <v>7402773</v>
      </c>
      <c r="CS12" s="621">
        <f t="shared" si="0"/>
        <v>5125399</v>
      </c>
      <c r="CT12" s="617">
        <v>41229</v>
      </c>
      <c r="CU12" s="618">
        <v>35698</v>
      </c>
      <c r="CV12" s="618">
        <v>124872</v>
      </c>
      <c r="CW12" s="619">
        <v>95892</v>
      </c>
      <c r="CX12" s="621">
        <f t="shared" si="3"/>
        <v>2692154</v>
      </c>
      <c r="CY12" s="621">
        <f t="shared" si="1"/>
        <v>1937414</v>
      </c>
      <c r="CZ12" s="621">
        <f t="shared" si="1"/>
        <v>7527645</v>
      </c>
      <c r="DA12" s="622">
        <f t="shared" si="1"/>
        <v>5221291</v>
      </c>
    </row>
    <row r="13" spans="1:105" x14ac:dyDescent="0.3">
      <c r="A13" s="600" t="s">
        <v>93</v>
      </c>
      <c r="B13" s="601">
        <v>33586</v>
      </c>
      <c r="C13" s="602">
        <v>17009</v>
      </c>
      <c r="D13" s="602">
        <v>80562</v>
      </c>
      <c r="E13" s="603">
        <v>43475</v>
      </c>
      <c r="F13" s="604">
        <v>14124</v>
      </c>
      <c r="G13" s="605">
        <v>19152</v>
      </c>
      <c r="H13" s="605">
        <v>61254</v>
      </c>
      <c r="I13" s="606">
        <v>57868</v>
      </c>
      <c r="J13" s="604">
        <v>1676</v>
      </c>
      <c r="K13" s="605">
        <v>2692</v>
      </c>
      <c r="L13" s="605">
        <v>8185</v>
      </c>
      <c r="M13" s="606">
        <v>8739</v>
      </c>
      <c r="N13" s="604">
        <v>2393</v>
      </c>
      <c r="O13" s="605">
        <v>4275</v>
      </c>
      <c r="P13" s="605">
        <v>13325</v>
      </c>
      <c r="Q13" s="606">
        <v>11914</v>
      </c>
      <c r="R13" s="604">
        <v>4362</v>
      </c>
      <c r="S13" s="605">
        <v>9241</v>
      </c>
      <c r="T13" s="605">
        <v>17965</v>
      </c>
      <c r="U13" s="606">
        <v>23982</v>
      </c>
      <c r="V13" s="604">
        <v>10101</v>
      </c>
      <c r="W13" s="605">
        <v>5732</v>
      </c>
      <c r="X13" s="605">
        <v>25679</v>
      </c>
      <c r="Y13" s="606">
        <v>19744</v>
      </c>
      <c r="Z13" s="604">
        <v>2547</v>
      </c>
      <c r="AA13" s="605">
        <v>2321</v>
      </c>
      <c r="AB13" s="605">
        <v>8039</v>
      </c>
      <c r="AC13" s="606">
        <v>5343</v>
      </c>
      <c r="AD13" s="604">
        <v>9214</v>
      </c>
      <c r="AE13" s="605">
        <v>4362</v>
      </c>
      <c r="AF13" s="605">
        <v>19627</v>
      </c>
      <c r="AG13" s="606">
        <v>10989</v>
      </c>
      <c r="AH13" s="604">
        <v>14147</v>
      </c>
      <c r="AI13" s="605">
        <v>435</v>
      </c>
      <c r="AJ13" s="605">
        <v>33138</v>
      </c>
      <c r="AK13" s="606">
        <v>18524</v>
      </c>
      <c r="AL13" s="604">
        <v>3321</v>
      </c>
      <c r="AM13" s="605">
        <v>4173</v>
      </c>
      <c r="AN13" s="605">
        <v>10808</v>
      </c>
      <c r="AO13" s="606">
        <v>11240</v>
      </c>
      <c r="AP13" s="604">
        <v>53666</v>
      </c>
      <c r="AQ13" s="605">
        <v>47465</v>
      </c>
      <c r="AR13" s="605">
        <v>140633</v>
      </c>
      <c r="AS13" s="606">
        <v>140068</v>
      </c>
      <c r="AT13" s="604">
        <v>46762</v>
      </c>
      <c r="AU13" s="605">
        <v>42888</v>
      </c>
      <c r="AV13" s="605">
        <v>159754</v>
      </c>
      <c r="AW13" s="606">
        <v>121104</v>
      </c>
      <c r="AX13" s="604">
        <v>4612</v>
      </c>
      <c r="AY13" s="605">
        <v>3521</v>
      </c>
      <c r="AZ13" s="605">
        <v>11613</v>
      </c>
      <c r="BA13" s="606">
        <v>8756</v>
      </c>
      <c r="BB13" s="604">
        <v>4499</v>
      </c>
      <c r="BC13" s="605">
        <v>3310</v>
      </c>
      <c r="BD13" s="605">
        <v>12661</v>
      </c>
      <c r="BE13" s="606">
        <v>11332</v>
      </c>
      <c r="BF13" s="604">
        <v>18652</v>
      </c>
      <c r="BG13" s="605">
        <v>15967</v>
      </c>
      <c r="BH13" s="605">
        <v>50358</v>
      </c>
      <c r="BI13" s="606">
        <v>36745</v>
      </c>
      <c r="BJ13" s="604">
        <v>2255</v>
      </c>
      <c r="BK13" s="605">
        <v>59123</v>
      </c>
      <c r="BL13" s="605">
        <v>180625</v>
      </c>
      <c r="BM13" s="606">
        <v>170632</v>
      </c>
      <c r="BN13" s="604">
        <v>19891</v>
      </c>
      <c r="BO13" s="605">
        <v>14415</v>
      </c>
      <c r="BP13" s="605">
        <v>51312</v>
      </c>
      <c r="BQ13" s="606">
        <v>33847</v>
      </c>
      <c r="BR13" s="604">
        <v>4364</v>
      </c>
      <c r="BS13" s="605">
        <v>4385</v>
      </c>
      <c r="BT13" s="605">
        <v>16223</v>
      </c>
      <c r="BU13" s="606">
        <v>13479</v>
      </c>
      <c r="BV13" s="610"/>
      <c r="BW13" s="605"/>
      <c r="BX13" s="605"/>
      <c r="BY13" s="606"/>
      <c r="BZ13" s="611">
        <v>62047</v>
      </c>
      <c r="CA13" s="612">
        <v>69255</v>
      </c>
      <c r="CB13" s="612">
        <v>211361</v>
      </c>
      <c r="CC13" s="613">
        <v>158751</v>
      </c>
      <c r="CD13" s="614">
        <v>2817</v>
      </c>
      <c r="CE13" s="615">
        <v>1976</v>
      </c>
      <c r="CF13" s="615">
        <v>7248</v>
      </c>
      <c r="CG13" s="616">
        <v>7263</v>
      </c>
      <c r="CH13" s="617">
        <v>2914</v>
      </c>
      <c r="CI13" s="618">
        <v>2501</v>
      </c>
      <c r="CJ13" s="618">
        <v>9013</v>
      </c>
      <c r="CK13" s="619">
        <v>9495</v>
      </c>
      <c r="CL13" s="620">
        <v>62391</v>
      </c>
      <c r="CM13" s="605">
        <v>24748</v>
      </c>
      <c r="CN13" s="605">
        <v>152863</v>
      </c>
      <c r="CO13" s="606">
        <v>77291</v>
      </c>
      <c r="CP13" s="621">
        <f t="shared" si="2"/>
        <v>380341</v>
      </c>
      <c r="CQ13" s="621">
        <f t="shared" si="0"/>
        <v>358946</v>
      </c>
      <c r="CR13" s="621">
        <f t="shared" si="0"/>
        <v>1282246</v>
      </c>
      <c r="CS13" s="621">
        <f t="shared" si="0"/>
        <v>1000581</v>
      </c>
      <c r="CT13" s="617">
        <v>114113</v>
      </c>
      <c r="CU13" s="618">
        <v>116443</v>
      </c>
      <c r="CV13" s="618">
        <v>368001</v>
      </c>
      <c r="CW13" s="619">
        <v>321290</v>
      </c>
      <c r="CX13" s="621">
        <f t="shared" si="3"/>
        <v>494454</v>
      </c>
      <c r="CY13" s="621">
        <f t="shared" si="1"/>
        <v>475389</v>
      </c>
      <c r="CZ13" s="621">
        <f t="shared" si="1"/>
        <v>1650247</v>
      </c>
      <c r="DA13" s="622">
        <f t="shared" si="1"/>
        <v>1321871</v>
      </c>
    </row>
    <row r="14" spans="1:105" x14ac:dyDescent="0.3">
      <c r="A14" s="600" t="s">
        <v>94</v>
      </c>
      <c r="B14" s="601"/>
      <c r="C14" s="602"/>
      <c r="D14" s="602"/>
      <c r="E14" s="603"/>
      <c r="F14" s="604"/>
      <c r="G14" s="605"/>
      <c r="H14" s="605"/>
      <c r="I14" s="606"/>
      <c r="J14" s="604"/>
      <c r="K14" s="605"/>
      <c r="L14" s="605"/>
      <c r="M14" s="606"/>
      <c r="N14" s="604"/>
      <c r="O14" s="605"/>
      <c r="P14" s="605"/>
      <c r="Q14" s="606"/>
      <c r="R14" s="604"/>
      <c r="S14" s="605"/>
      <c r="T14" s="605"/>
      <c r="U14" s="606"/>
      <c r="V14" s="604"/>
      <c r="W14" s="605"/>
      <c r="X14" s="605"/>
      <c r="Y14" s="606"/>
      <c r="Z14" s="604"/>
      <c r="AA14" s="605"/>
      <c r="AB14" s="605"/>
      <c r="AC14" s="606"/>
      <c r="AD14" s="604"/>
      <c r="AE14" s="605"/>
      <c r="AF14" s="605"/>
      <c r="AG14" s="606"/>
      <c r="AH14" s="604"/>
      <c r="AI14" s="605"/>
      <c r="AJ14" s="605"/>
      <c r="AK14" s="606"/>
      <c r="AL14" s="604"/>
      <c r="AM14" s="605"/>
      <c r="AN14" s="605"/>
      <c r="AO14" s="606"/>
      <c r="AP14" s="604"/>
      <c r="AQ14" s="605"/>
      <c r="AR14" s="605"/>
      <c r="AS14" s="606"/>
      <c r="AT14" s="604"/>
      <c r="AU14" s="605"/>
      <c r="AV14" s="605"/>
      <c r="AW14" s="606"/>
      <c r="AX14" s="604"/>
      <c r="AY14" s="605"/>
      <c r="AZ14" s="605"/>
      <c r="BA14" s="606"/>
      <c r="BB14" s="604"/>
      <c r="BC14" s="605"/>
      <c r="BD14" s="605"/>
      <c r="BE14" s="606"/>
      <c r="BF14" s="604"/>
      <c r="BG14" s="605"/>
      <c r="BH14" s="605"/>
      <c r="BI14" s="606"/>
      <c r="BJ14" s="604"/>
      <c r="BK14" s="605"/>
      <c r="BL14" s="605"/>
      <c r="BM14" s="606"/>
      <c r="BN14" s="604"/>
      <c r="BO14" s="605"/>
      <c r="BP14" s="605"/>
      <c r="BQ14" s="606"/>
      <c r="BR14" s="604"/>
      <c r="BS14" s="605"/>
      <c r="BT14" s="605"/>
      <c r="BU14" s="606"/>
      <c r="BV14" s="610"/>
      <c r="BW14" s="605"/>
      <c r="BX14" s="605"/>
      <c r="BY14" s="606"/>
      <c r="BZ14" s="633"/>
      <c r="CA14" s="634"/>
      <c r="CB14" s="634"/>
      <c r="CC14" s="635"/>
      <c r="CD14" s="614"/>
      <c r="CE14" s="615"/>
      <c r="CF14" s="615"/>
      <c r="CG14" s="616"/>
      <c r="CH14" s="617"/>
      <c r="CI14" s="618"/>
      <c r="CJ14" s="618"/>
      <c r="CK14" s="619"/>
      <c r="CL14" s="620"/>
      <c r="CM14" s="605"/>
      <c r="CN14" s="605"/>
      <c r="CO14" s="606"/>
      <c r="CP14" s="621">
        <f t="shared" si="2"/>
        <v>0</v>
      </c>
      <c r="CQ14" s="621">
        <f t="shared" si="0"/>
        <v>0</v>
      </c>
      <c r="CR14" s="621">
        <f t="shared" si="0"/>
        <v>0</v>
      </c>
      <c r="CS14" s="621">
        <f t="shared" si="0"/>
        <v>0</v>
      </c>
      <c r="CT14" s="617"/>
      <c r="CU14" s="618"/>
      <c r="CV14" s="618"/>
      <c r="CW14" s="619"/>
      <c r="CX14" s="621">
        <f t="shared" si="3"/>
        <v>0</v>
      </c>
      <c r="CY14" s="621">
        <f t="shared" si="1"/>
        <v>0</v>
      </c>
      <c r="CZ14" s="621">
        <f t="shared" si="1"/>
        <v>0</v>
      </c>
      <c r="DA14" s="622">
        <f t="shared" si="1"/>
        <v>0</v>
      </c>
    </row>
    <row r="15" spans="1:105" ht="17.25" x14ac:dyDescent="0.35">
      <c r="A15" s="600" t="s">
        <v>95</v>
      </c>
      <c r="B15" s="621">
        <v>1800</v>
      </c>
      <c r="C15" s="624">
        <v>1800</v>
      </c>
      <c r="D15" s="624">
        <v>5400</v>
      </c>
      <c r="E15" s="625">
        <v>5400</v>
      </c>
      <c r="F15" s="626">
        <v>928</v>
      </c>
      <c r="G15" s="627">
        <v>2678</v>
      </c>
      <c r="H15" s="627">
        <v>2678</v>
      </c>
      <c r="I15" s="628">
        <v>2625</v>
      </c>
      <c r="J15" s="626">
        <v>1449</v>
      </c>
      <c r="K15" s="627">
        <v>1392</v>
      </c>
      <c r="L15" s="627">
        <v>4408</v>
      </c>
      <c r="M15" s="628">
        <v>5315</v>
      </c>
      <c r="N15" s="626">
        <v>2375</v>
      </c>
      <c r="O15" s="627">
        <v>2375</v>
      </c>
      <c r="P15" s="627">
        <v>7124</v>
      </c>
      <c r="Q15" s="628">
        <v>7125</v>
      </c>
      <c r="R15" s="626">
        <v>1375</v>
      </c>
      <c r="S15" s="627">
        <v>1000</v>
      </c>
      <c r="T15" s="627">
        <v>4126</v>
      </c>
      <c r="U15" s="628">
        <v>3000</v>
      </c>
      <c r="V15" s="626">
        <v>1278</v>
      </c>
      <c r="W15" s="627">
        <v>1395</v>
      </c>
      <c r="X15" s="627">
        <v>1842</v>
      </c>
      <c r="Y15" s="628">
        <v>2147</v>
      </c>
      <c r="Z15" s="626">
        <v>872</v>
      </c>
      <c r="AA15" s="627">
        <v>700</v>
      </c>
      <c r="AB15" s="627">
        <v>2624</v>
      </c>
      <c r="AC15" s="628">
        <v>2100</v>
      </c>
      <c r="AD15" s="626">
        <v>663</v>
      </c>
      <c r="AE15" s="627">
        <v>655</v>
      </c>
      <c r="AF15" s="627">
        <v>1725</v>
      </c>
      <c r="AG15" s="628">
        <v>1575</v>
      </c>
      <c r="AH15" s="626">
        <v>750</v>
      </c>
      <c r="AI15" s="627">
        <v>1000</v>
      </c>
      <c r="AJ15" s="627">
        <v>2950</v>
      </c>
      <c r="AK15" s="628">
        <v>2750</v>
      </c>
      <c r="AL15" s="626">
        <v>723</v>
      </c>
      <c r="AM15" s="627">
        <v>703</v>
      </c>
      <c r="AN15" s="627">
        <v>1908</v>
      </c>
      <c r="AO15" s="628">
        <v>1731</v>
      </c>
      <c r="AP15" s="626">
        <v>2400</v>
      </c>
      <c r="AQ15" s="627">
        <v>2000</v>
      </c>
      <c r="AR15" s="627">
        <v>7200</v>
      </c>
      <c r="AS15" s="628">
        <v>6000</v>
      </c>
      <c r="AT15" s="626">
        <v>3322</v>
      </c>
      <c r="AU15" s="627">
        <v>4015</v>
      </c>
      <c r="AV15" s="627">
        <v>13661</v>
      </c>
      <c r="AW15" s="628">
        <v>12254</v>
      </c>
      <c r="AX15" s="607">
        <v>926</v>
      </c>
      <c r="AY15" s="608">
        <v>777</v>
      </c>
      <c r="AZ15" s="608">
        <v>2777</v>
      </c>
      <c r="BA15" s="609">
        <v>2503</v>
      </c>
      <c r="BB15" s="626">
        <v>972</v>
      </c>
      <c r="BC15" s="627">
        <v>763</v>
      </c>
      <c r="BD15" s="627">
        <v>2598</v>
      </c>
      <c r="BE15" s="628">
        <v>2289</v>
      </c>
      <c r="BF15" s="629">
        <v>1735</v>
      </c>
      <c r="BG15" s="630">
        <v>1732</v>
      </c>
      <c r="BH15" s="630">
        <v>6017</v>
      </c>
      <c r="BI15" s="631">
        <v>5166</v>
      </c>
      <c r="BJ15" s="626"/>
      <c r="BK15" s="627">
        <v>2150</v>
      </c>
      <c r="BL15" s="627">
        <v>6769</v>
      </c>
      <c r="BM15" s="628">
        <v>6450</v>
      </c>
      <c r="BN15" s="626">
        <v>1625</v>
      </c>
      <c r="BO15" s="627">
        <v>1500</v>
      </c>
      <c r="BP15" s="627">
        <v>4875</v>
      </c>
      <c r="BQ15" s="628">
        <v>4500</v>
      </c>
      <c r="BR15" s="626">
        <v>1460</v>
      </c>
      <c r="BS15" s="627">
        <v>1381</v>
      </c>
      <c r="BT15" s="627">
        <v>3951</v>
      </c>
      <c r="BU15" s="628">
        <v>4182</v>
      </c>
      <c r="BV15" s="610"/>
      <c r="BW15" s="605"/>
      <c r="BX15" s="605"/>
      <c r="BY15" s="606"/>
      <c r="BZ15" s="611">
        <v>950</v>
      </c>
      <c r="CA15" s="612">
        <v>950</v>
      </c>
      <c r="CB15" s="612">
        <v>3850</v>
      </c>
      <c r="CC15" s="613">
        <v>4467</v>
      </c>
      <c r="CD15" s="614">
        <v>425</v>
      </c>
      <c r="CE15" s="615">
        <v>375</v>
      </c>
      <c r="CF15" s="615">
        <v>1275</v>
      </c>
      <c r="CG15" s="616">
        <v>1525</v>
      </c>
      <c r="CH15" s="617">
        <v>893</v>
      </c>
      <c r="CI15" s="618">
        <v>880</v>
      </c>
      <c r="CJ15" s="618">
        <v>2561</v>
      </c>
      <c r="CK15" s="619">
        <v>2330</v>
      </c>
      <c r="CL15" s="632">
        <v>1400</v>
      </c>
      <c r="CM15" s="627">
        <v>1200</v>
      </c>
      <c r="CN15" s="627">
        <v>6500</v>
      </c>
      <c r="CO15" s="628">
        <v>4309</v>
      </c>
      <c r="CP15" s="621">
        <f t="shared" si="2"/>
        <v>28321</v>
      </c>
      <c r="CQ15" s="621">
        <f t="shared" si="0"/>
        <v>31421</v>
      </c>
      <c r="CR15" s="621">
        <f t="shared" si="0"/>
        <v>96819</v>
      </c>
      <c r="CS15" s="621">
        <f t="shared" si="0"/>
        <v>89743</v>
      </c>
      <c r="CT15" s="632">
        <v>20631</v>
      </c>
      <c r="CU15" s="627">
        <v>20580</v>
      </c>
      <c r="CV15" s="627">
        <v>59647</v>
      </c>
      <c r="CW15" s="628">
        <v>59018</v>
      </c>
      <c r="CX15" s="621">
        <f t="shared" si="3"/>
        <v>48952</v>
      </c>
      <c r="CY15" s="621">
        <f t="shared" si="1"/>
        <v>52001</v>
      </c>
      <c r="CZ15" s="621">
        <f t="shared" si="1"/>
        <v>156466</v>
      </c>
      <c r="DA15" s="622">
        <f t="shared" si="1"/>
        <v>148761</v>
      </c>
    </row>
    <row r="16" spans="1:105" x14ac:dyDescent="0.3">
      <c r="A16" s="600" t="s">
        <v>96</v>
      </c>
      <c r="B16" s="601"/>
      <c r="C16" s="602"/>
      <c r="D16" s="602"/>
      <c r="E16" s="603"/>
      <c r="F16" s="604"/>
      <c r="G16" s="605"/>
      <c r="H16" s="605"/>
      <c r="I16" s="606"/>
      <c r="J16" s="604"/>
      <c r="K16" s="605"/>
      <c r="L16" s="605"/>
      <c r="M16" s="606"/>
      <c r="N16" s="604"/>
      <c r="O16" s="605"/>
      <c r="P16" s="605"/>
      <c r="Q16" s="606"/>
      <c r="R16" s="604"/>
      <c r="S16" s="605"/>
      <c r="T16" s="605"/>
      <c r="U16" s="606"/>
      <c r="V16" s="604"/>
      <c r="W16" s="605"/>
      <c r="X16" s="605"/>
      <c r="Y16" s="606"/>
      <c r="Z16" s="604"/>
      <c r="AA16" s="605"/>
      <c r="AB16" s="605"/>
      <c r="AC16" s="606"/>
      <c r="AD16" s="604"/>
      <c r="AE16" s="605"/>
      <c r="AF16" s="605"/>
      <c r="AG16" s="606"/>
      <c r="AH16" s="604"/>
      <c r="AI16" s="605"/>
      <c r="AJ16" s="605"/>
      <c r="AK16" s="606"/>
      <c r="AL16" s="604"/>
      <c r="AM16" s="605"/>
      <c r="AN16" s="605"/>
      <c r="AO16" s="606"/>
      <c r="AP16" s="604"/>
      <c r="AQ16" s="605"/>
      <c r="AR16" s="605"/>
      <c r="AS16" s="606"/>
      <c r="AT16" s="604"/>
      <c r="AU16" s="605"/>
      <c r="AV16" s="605"/>
      <c r="AW16" s="606"/>
      <c r="AX16" s="607"/>
      <c r="AY16" s="608"/>
      <c r="AZ16" s="608"/>
      <c r="BA16" s="609"/>
      <c r="BB16" s="604"/>
      <c r="BC16" s="605"/>
      <c r="BD16" s="605"/>
      <c r="BE16" s="606"/>
      <c r="BF16" s="604"/>
      <c r="BG16" s="605"/>
      <c r="BH16" s="605"/>
      <c r="BI16" s="606"/>
      <c r="BJ16" s="604"/>
      <c r="BK16" s="605"/>
      <c r="BL16" s="605"/>
      <c r="BM16" s="606"/>
      <c r="BN16" s="604"/>
      <c r="BO16" s="605"/>
      <c r="BP16" s="605"/>
      <c r="BQ16" s="606"/>
      <c r="BR16" s="604"/>
      <c r="BS16" s="605"/>
      <c r="BT16" s="605"/>
      <c r="BU16" s="606"/>
      <c r="BV16" s="610"/>
      <c r="BW16" s="605"/>
      <c r="BX16" s="605"/>
      <c r="BY16" s="606"/>
      <c r="BZ16" s="611"/>
      <c r="CA16" s="612"/>
      <c r="CB16" s="612"/>
      <c r="CC16" s="613"/>
      <c r="CD16" s="614"/>
      <c r="CE16" s="615"/>
      <c r="CF16" s="615"/>
      <c r="CG16" s="616"/>
      <c r="CH16" s="617"/>
      <c r="CI16" s="618"/>
      <c r="CJ16" s="618"/>
      <c r="CK16" s="619"/>
      <c r="CL16" s="620"/>
      <c r="CM16" s="605"/>
      <c r="CN16" s="605"/>
      <c r="CO16" s="606"/>
      <c r="CP16" s="621">
        <f t="shared" si="2"/>
        <v>0</v>
      </c>
      <c r="CQ16" s="621">
        <f t="shared" si="0"/>
        <v>0</v>
      </c>
      <c r="CR16" s="621">
        <f t="shared" si="0"/>
        <v>0</v>
      </c>
      <c r="CS16" s="621">
        <f t="shared" si="0"/>
        <v>0</v>
      </c>
      <c r="CT16" s="620"/>
      <c r="CU16" s="605"/>
      <c r="CV16" s="605"/>
      <c r="CW16" s="606"/>
      <c r="CX16" s="621">
        <f t="shared" si="3"/>
        <v>0</v>
      </c>
      <c r="CY16" s="621">
        <f t="shared" si="1"/>
        <v>0</v>
      </c>
      <c r="CZ16" s="621">
        <f t="shared" si="1"/>
        <v>0</v>
      </c>
      <c r="DA16" s="622">
        <f t="shared" si="1"/>
        <v>0</v>
      </c>
    </row>
    <row r="17" spans="1:105" x14ac:dyDescent="0.3">
      <c r="A17" s="600" t="s">
        <v>97</v>
      </c>
      <c r="B17" s="601"/>
      <c r="C17" s="602"/>
      <c r="D17" s="602"/>
      <c r="E17" s="603"/>
      <c r="F17" s="604"/>
      <c r="G17" s="605"/>
      <c r="H17" s="605"/>
      <c r="I17" s="606"/>
      <c r="J17" s="604"/>
      <c r="K17" s="605"/>
      <c r="L17" s="605"/>
      <c r="M17" s="606"/>
      <c r="N17" s="604"/>
      <c r="O17" s="605">
        <v>400</v>
      </c>
      <c r="P17" s="605"/>
      <c r="Q17" s="606">
        <v>400</v>
      </c>
      <c r="R17" s="604">
        <v>38</v>
      </c>
      <c r="S17" s="605">
        <v>263</v>
      </c>
      <c r="T17" s="605">
        <v>113</v>
      </c>
      <c r="U17" s="606">
        <v>262</v>
      </c>
      <c r="V17" s="604">
        <v>305</v>
      </c>
      <c r="W17" s="605">
        <v>326</v>
      </c>
      <c r="X17" s="605">
        <v>305</v>
      </c>
      <c r="Y17" s="606">
        <v>326</v>
      </c>
      <c r="Z17" s="604"/>
      <c r="AA17" s="605"/>
      <c r="AB17" s="605"/>
      <c r="AC17" s="606"/>
      <c r="AD17" s="604"/>
      <c r="AE17" s="605"/>
      <c r="AF17" s="605"/>
      <c r="AG17" s="606"/>
      <c r="AH17" s="604">
        <v>38</v>
      </c>
      <c r="AI17" s="605">
        <v>38</v>
      </c>
      <c r="AJ17" s="605">
        <v>113</v>
      </c>
      <c r="AK17" s="606">
        <v>113</v>
      </c>
      <c r="AL17" s="604"/>
      <c r="AM17" s="605"/>
      <c r="AN17" s="605"/>
      <c r="AO17" s="606"/>
      <c r="AP17" s="604">
        <v>-60</v>
      </c>
      <c r="AQ17" s="605">
        <v>121</v>
      </c>
      <c r="AR17" s="605">
        <v>189</v>
      </c>
      <c r="AS17" s="606">
        <v>363</v>
      </c>
      <c r="AT17" s="604"/>
      <c r="AU17" s="605"/>
      <c r="AV17" s="605"/>
      <c r="AW17" s="606"/>
      <c r="AX17" s="607"/>
      <c r="AY17" s="608"/>
      <c r="AZ17" s="608"/>
      <c r="BA17" s="609"/>
      <c r="BB17" s="604"/>
      <c r="BC17" s="605"/>
      <c r="BD17" s="605"/>
      <c r="BE17" s="606"/>
      <c r="BF17" s="604"/>
      <c r="BG17" s="605"/>
      <c r="BH17" s="605"/>
      <c r="BI17" s="606"/>
      <c r="BJ17" s="604"/>
      <c r="BK17" s="605">
        <v>38</v>
      </c>
      <c r="BL17" s="605"/>
      <c r="BM17" s="606"/>
      <c r="BN17" s="604"/>
      <c r="BO17" s="605"/>
      <c r="BP17" s="605"/>
      <c r="BQ17" s="606"/>
      <c r="BR17" s="604"/>
      <c r="BS17" s="605"/>
      <c r="BT17" s="605"/>
      <c r="BU17" s="606"/>
      <c r="BV17" s="610"/>
      <c r="BW17" s="605"/>
      <c r="BX17" s="605"/>
      <c r="BY17" s="606"/>
      <c r="BZ17" s="611"/>
      <c r="CA17" s="634"/>
      <c r="CB17" s="634"/>
      <c r="CC17" s="635"/>
      <c r="CD17" s="614"/>
      <c r="CE17" s="615"/>
      <c r="CF17" s="615"/>
      <c r="CG17" s="616"/>
      <c r="CH17" s="617"/>
      <c r="CI17" s="618"/>
      <c r="CJ17" s="618"/>
      <c r="CK17" s="619"/>
      <c r="CL17" s="620"/>
      <c r="CM17" s="605"/>
      <c r="CN17" s="605"/>
      <c r="CO17" s="606"/>
      <c r="CP17" s="621">
        <f t="shared" si="2"/>
        <v>321</v>
      </c>
      <c r="CQ17" s="621">
        <f t="shared" si="0"/>
        <v>1186</v>
      </c>
      <c r="CR17" s="621">
        <f t="shared" si="0"/>
        <v>720</v>
      </c>
      <c r="CS17" s="621">
        <f t="shared" si="0"/>
        <v>1464</v>
      </c>
      <c r="CT17" s="620">
        <v>31</v>
      </c>
      <c r="CU17" s="605">
        <v>42</v>
      </c>
      <c r="CV17" s="605">
        <v>113</v>
      </c>
      <c r="CW17" s="606">
        <v>64</v>
      </c>
      <c r="CX17" s="621">
        <f t="shared" si="3"/>
        <v>352</v>
      </c>
      <c r="CY17" s="621">
        <f t="shared" si="1"/>
        <v>1228</v>
      </c>
      <c r="CZ17" s="621">
        <f t="shared" si="1"/>
        <v>833</v>
      </c>
      <c r="DA17" s="622">
        <f t="shared" si="1"/>
        <v>1528</v>
      </c>
    </row>
    <row r="18" spans="1:105" x14ac:dyDescent="0.3">
      <c r="A18" s="600" t="s">
        <v>98</v>
      </c>
      <c r="B18" s="601"/>
      <c r="C18" s="602"/>
      <c r="D18" s="602"/>
      <c r="E18" s="603"/>
      <c r="F18" s="604"/>
      <c r="G18" s="605"/>
      <c r="H18" s="605"/>
      <c r="I18" s="606"/>
      <c r="J18" s="604"/>
      <c r="K18" s="605"/>
      <c r="L18" s="605"/>
      <c r="M18" s="606"/>
      <c r="N18" s="604"/>
      <c r="O18" s="605"/>
      <c r="P18" s="605"/>
      <c r="Q18" s="606"/>
      <c r="R18" s="604"/>
      <c r="S18" s="605"/>
      <c r="T18" s="605"/>
      <c r="U18" s="606"/>
      <c r="V18" s="604"/>
      <c r="W18" s="605"/>
      <c r="X18" s="605"/>
      <c r="Y18" s="606"/>
      <c r="Z18" s="604"/>
      <c r="AA18" s="605"/>
      <c r="AB18" s="605"/>
      <c r="AC18" s="606"/>
      <c r="AD18" s="604"/>
      <c r="AE18" s="605"/>
      <c r="AF18" s="605"/>
      <c r="AG18" s="606"/>
      <c r="AH18" s="604"/>
      <c r="AI18" s="605"/>
      <c r="AJ18" s="605"/>
      <c r="AK18" s="606"/>
      <c r="AL18" s="604"/>
      <c r="AM18" s="605"/>
      <c r="AN18" s="605"/>
      <c r="AO18" s="606"/>
      <c r="AP18" s="604"/>
      <c r="AQ18" s="605"/>
      <c r="AR18" s="605"/>
      <c r="AS18" s="606"/>
      <c r="AT18" s="604"/>
      <c r="AU18" s="605"/>
      <c r="AV18" s="605"/>
      <c r="AW18" s="606"/>
      <c r="AX18" s="607"/>
      <c r="AY18" s="608"/>
      <c r="AZ18" s="608"/>
      <c r="BA18" s="609"/>
      <c r="BB18" s="604"/>
      <c r="BC18" s="605"/>
      <c r="BD18" s="605"/>
      <c r="BE18" s="606"/>
      <c r="BF18" s="604"/>
      <c r="BG18" s="605"/>
      <c r="BH18" s="605"/>
      <c r="BI18" s="606"/>
      <c r="BJ18" s="604"/>
      <c r="BK18" s="605"/>
      <c r="BL18" s="605"/>
      <c r="BM18" s="606">
        <v>263</v>
      </c>
      <c r="BN18" s="604"/>
      <c r="BO18" s="605"/>
      <c r="BP18" s="605"/>
      <c r="BQ18" s="606"/>
      <c r="BR18" s="604"/>
      <c r="BS18" s="605"/>
      <c r="BT18" s="605"/>
      <c r="BU18" s="606"/>
      <c r="BV18" s="610"/>
      <c r="BW18" s="605"/>
      <c r="BX18" s="605"/>
      <c r="BY18" s="606"/>
      <c r="BZ18" s="611"/>
      <c r="CA18" s="612"/>
      <c r="CB18" s="612"/>
      <c r="CC18" s="613"/>
      <c r="CD18" s="614"/>
      <c r="CE18" s="615"/>
      <c r="CF18" s="615"/>
      <c r="CG18" s="616"/>
      <c r="CH18" s="617"/>
      <c r="CI18" s="618"/>
      <c r="CJ18" s="618"/>
      <c r="CK18" s="619"/>
      <c r="CL18" s="620"/>
      <c r="CM18" s="605"/>
      <c r="CN18" s="605"/>
      <c r="CO18" s="606"/>
      <c r="CP18" s="621">
        <f t="shared" si="2"/>
        <v>0</v>
      </c>
      <c r="CQ18" s="621">
        <f t="shared" si="0"/>
        <v>0</v>
      </c>
      <c r="CR18" s="621">
        <f t="shared" si="0"/>
        <v>0</v>
      </c>
      <c r="CS18" s="621">
        <f t="shared" si="0"/>
        <v>263</v>
      </c>
      <c r="CT18" s="620"/>
      <c r="CU18" s="605"/>
      <c r="CV18" s="605"/>
      <c r="CW18" s="606"/>
      <c r="CX18" s="621">
        <f t="shared" si="3"/>
        <v>0</v>
      </c>
      <c r="CY18" s="621">
        <f t="shared" si="1"/>
        <v>0</v>
      </c>
      <c r="CZ18" s="621">
        <f t="shared" si="1"/>
        <v>0</v>
      </c>
      <c r="DA18" s="622">
        <f t="shared" si="1"/>
        <v>263</v>
      </c>
    </row>
    <row r="19" spans="1:105" x14ac:dyDescent="0.3">
      <c r="A19" s="600" t="s">
        <v>99</v>
      </c>
      <c r="B19" s="601">
        <v>180</v>
      </c>
      <c r="C19" s="602">
        <v>55</v>
      </c>
      <c r="D19" s="602">
        <v>821</v>
      </c>
      <c r="E19" s="603">
        <v>185</v>
      </c>
      <c r="F19" s="604"/>
      <c r="G19" s="605"/>
      <c r="H19" s="605"/>
      <c r="I19" s="606"/>
      <c r="J19" s="604"/>
      <c r="K19" s="605"/>
      <c r="L19" s="605"/>
      <c r="M19" s="606"/>
      <c r="N19" s="604"/>
      <c r="O19" s="605"/>
      <c r="P19" s="605"/>
      <c r="Q19" s="606"/>
      <c r="R19" s="604"/>
      <c r="S19" s="605">
        <v>35</v>
      </c>
      <c r="T19" s="605">
        <v>179</v>
      </c>
      <c r="U19" s="606">
        <v>161</v>
      </c>
      <c r="V19" s="604"/>
      <c r="W19" s="605"/>
      <c r="X19" s="605"/>
      <c r="Y19" s="606"/>
      <c r="Z19" s="604"/>
      <c r="AA19" s="605"/>
      <c r="AB19" s="605"/>
      <c r="AC19" s="606"/>
      <c r="AD19" s="604"/>
      <c r="AE19" s="605"/>
      <c r="AF19" s="605"/>
      <c r="AG19" s="606"/>
      <c r="AH19" s="604">
        <v>25</v>
      </c>
      <c r="AI19" s="605">
        <v>944</v>
      </c>
      <c r="AJ19" s="605">
        <v>455</v>
      </c>
      <c r="AK19" s="606">
        <v>1489</v>
      </c>
      <c r="AL19" s="604"/>
      <c r="AM19" s="605"/>
      <c r="AN19" s="605"/>
      <c r="AO19" s="606"/>
      <c r="AP19" s="604"/>
      <c r="AQ19" s="605"/>
      <c r="AR19" s="605"/>
      <c r="AS19" s="606"/>
      <c r="AT19" s="604"/>
      <c r="AU19" s="605"/>
      <c r="AV19" s="605"/>
      <c r="AW19" s="606"/>
      <c r="AX19" s="607"/>
      <c r="AY19" s="608"/>
      <c r="AZ19" s="608"/>
      <c r="BA19" s="609"/>
      <c r="BB19" s="604"/>
      <c r="BC19" s="605"/>
      <c r="BD19" s="605"/>
      <c r="BE19" s="606"/>
      <c r="BF19" s="604"/>
      <c r="BG19" s="605"/>
      <c r="BH19" s="605"/>
      <c r="BI19" s="606"/>
      <c r="BJ19" s="604">
        <v>704</v>
      </c>
      <c r="BK19" s="605">
        <v>337</v>
      </c>
      <c r="BL19" s="605">
        <v>2103</v>
      </c>
      <c r="BM19" s="606">
        <v>1537</v>
      </c>
      <c r="BN19" s="604"/>
      <c r="BO19" s="605"/>
      <c r="BP19" s="605"/>
      <c r="BQ19" s="606"/>
      <c r="BR19" s="604"/>
      <c r="BS19" s="605"/>
      <c r="BT19" s="605"/>
      <c r="BU19" s="606"/>
      <c r="BV19" s="610"/>
      <c r="BW19" s="605"/>
      <c r="BX19" s="605"/>
      <c r="BY19" s="606"/>
      <c r="BZ19" s="611"/>
      <c r="CA19" s="623"/>
      <c r="CB19" s="623"/>
      <c r="CC19" s="636"/>
      <c r="CD19" s="614"/>
      <c r="CE19" s="615"/>
      <c r="CF19" s="615"/>
      <c r="CG19" s="616"/>
      <c r="CH19" s="617"/>
      <c r="CI19" s="618"/>
      <c r="CJ19" s="618"/>
      <c r="CK19" s="619"/>
      <c r="CL19" s="620"/>
      <c r="CM19" s="605"/>
      <c r="CN19" s="605"/>
      <c r="CO19" s="606"/>
      <c r="CP19" s="621">
        <f t="shared" si="2"/>
        <v>909</v>
      </c>
      <c r="CQ19" s="621">
        <f t="shared" si="0"/>
        <v>1371</v>
      </c>
      <c r="CR19" s="621">
        <f t="shared" si="0"/>
        <v>3558</v>
      </c>
      <c r="CS19" s="621">
        <f t="shared" si="0"/>
        <v>3372</v>
      </c>
      <c r="CT19" s="620"/>
      <c r="CU19" s="605"/>
      <c r="CV19" s="605"/>
      <c r="CW19" s="606"/>
      <c r="CX19" s="621">
        <f t="shared" si="3"/>
        <v>909</v>
      </c>
      <c r="CY19" s="621">
        <f t="shared" si="1"/>
        <v>1371</v>
      </c>
      <c r="CZ19" s="621">
        <f t="shared" si="1"/>
        <v>3558</v>
      </c>
      <c r="DA19" s="622">
        <f t="shared" si="1"/>
        <v>3372</v>
      </c>
    </row>
    <row r="20" spans="1:105" ht="17.25" x14ac:dyDescent="0.35">
      <c r="A20" s="600" t="s">
        <v>100</v>
      </c>
      <c r="B20" s="621"/>
      <c r="C20" s="624"/>
      <c r="D20" s="624"/>
      <c r="E20" s="625"/>
      <c r="F20" s="626">
        <v>10</v>
      </c>
      <c r="G20" s="627">
        <v>10</v>
      </c>
      <c r="H20" s="627">
        <v>20</v>
      </c>
      <c r="I20" s="628">
        <v>20</v>
      </c>
      <c r="J20" s="626">
        <v>125</v>
      </c>
      <c r="K20" s="627">
        <v>170</v>
      </c>
      <c r="L20" s="627">
        <v>510</v>
      </c>
      <c r="M20" s="628">
        <v>580</v>
      </c>
      <c r="N20" s="626">
        <v>401</v>
      </c>
      <c r="O20" s="627"/>
      <c r="P20" s="627">
        <v>465</v>
      </c>
      <c r="Q20" s="628">
        <v>220</v>
      </c>
      <c r="R20" s="626">
        <v>18</v>
      </c>
      <c r="S20" s="627">
        <v>16</v>
      </c>
      <c r="T20" s="627">
        <v>90</v>
      </c>
      <c r="U20" s="628">
        <v>119</v>
      </c>
      <c r="V20" s="626"/>
      <c r="W20" s="627"/>
      <c r="X20" s="627">
        <v>439</v>
      </c>
      <c r="Y20" s="628">
        <v>400</v>
      </c>
      <c r="Z20" s="626">
        <v>827</v>
      </c>
      <c r="AA20" s="627">
        <v>433</v>
      </c>
      <c r="AB20" s="627">
        <v>1794</v>
      </c>
      <c r="AC20" s="628">
        <v>1333</v>
      </c>
      <c r="AD20" s="626">
        <v>175</v>
      </c>
      <c r="AE20" s="627"/>
      <c r="AF20" s="627">
        <v>375</v>
      </c>
      <c r="AG20" s="628"/>
      <c r="AH20" s="626"/>
      <c r="AI20" s="627"/>
      <c r="AJ20" s="627"/>
      <c r="AK20" s="628"/>
      <c r="AL20" s="626">
        <v>225</v>
      </c>
      <c r="AM20" s="627">
        <v>368</v>
      </c>
      <c r="AN20" s="627">
        <v>467</v>
      </c>
      <c r="AO20" s="628">
        <v>830</v>
      </c>
      <c r="AP20" s="626">
        <v>820</v>
      </c>
      <c r="AQ20" s="627">
        <v>1687</v>
      </c>
      <c r="AR20" s="627">
        <v>2576</v>
      </c>
      <c r="AS20" s="628">
        <v>4924</v>
      </c>
      <c r="AT20" s="626"/>
      <c r="AU20" s="627"/>
      <c r="AV20" s="627"/>
      <c r="AW20" s="628"/>
      <c r="AX20" s="607">
        <v>76</v>
      </c>
      <c r="AY20" s="608">
        <v>65</v>
      </c>
      <c r="AZ20" s="608">
        <v>225</v>
      </c>
      <c r="BA20" s="609">
        <v>198</v>
      </c>
      <c r="BB20" s="626"/>
      <c r="BC20" s="627"/>
      <c r="BD20" s="627">
        <v>15</v>
      </c>
      <c r="BE20" s="628">
        <v>63</v>
      </c>
      <c r="BF20" s="629">
        <v>-28</v>
      </c>
      <c r="BG20" s="630">
        <v>16</v>
      </c>
      <c r="BH20" s="630">
        <v>315</v>
      </c>
      <c r="BI20" s="631">
        <v>100</v>
      </c>
      <c r="BJ20" s="626"/>
      <c r="BK20" s="627"/>
      <c r="BL20" s="627"/>
      <c r="BM20" s="628"/>
      <c r="BN20" s="623">
        <v>139</v>
      </c>
      <c r="BO20" s="623">
        <v>100</v>
      </c>
      <c r="BP20" s="623">
        <v>188</v>
      </c>
      <c r="BQ20" s="628">
        <v>100</v>
      </c>
      <c r="BR20" s="626">
        <v>20</v>
      </c>
      <c r="BS20" s="627">
        <v>95</v>
      </c>
      <c r="BT20" s="627">
        <v>910</v>
      </c>
      <c r="BU20" s="628">
        <v>414</v>
      </c>
      <c r="BV20" s="610"/>
      <c r="BW20" s="605"/>
      <c r="BX20" s="605"/>
      <c r="BY20" s="606"/>
      <c r="BZ20" s="611">
        <v>651</v>
      </c>
      <c r="CA20" s="612">
        <v>761</v>
      </c>
      <c r="CB20" s="612">
        <v>1614</v>
      </c>
      <c r="CC20" s="613">
        <v>1135</v>
      </c>
      <c r="CD20" s="614"/>
      <c r="CE20" s="615"/>
      <c r="CF20" s="615"/>
      <c r="CG20" s="616"/>
      <c r="CH20" s="617">
        <v>1226</v>
      </c>
      <c r="CI20" s="618">
        <v>1158</v>
      </c>
      <c r="CJ20" s="618">
        <v>2938</v>
      </c>
      <c r="CK20" s="619">
        <v>2646</v>
      </c>
      <c r="CL20" s="632">
        <v>143</v>
      </c>
      <c r="CM20" s="627">
        <v>259</v>
      </c>
      <c r="CN20" s="627">
        <v>414</v>
      </c>
      <c r="CO20" s="628">
        <v>510</v>
      </c>
      <c r="CP20" s="621">
        <f t="shared" si="2"/>
        <v>4828</v>
      </c>
      <c r="CQ20" s="621">
        <f t="shared" si="0"/>
        <v>5138</v>
      </c>
      <c r="CR20" s="621">
        <f t="shared" si="0"/>
        <v>13355</v>
      </c>
      <c r="CS20" s="621">
        <f t="shared" si="0"/>
        <v>13592</v>
      </c>
      <c r="CT20" s="632"/>
      <c r="CU20" s="627"/>
      <c r="CV20" s="627"/>
      <c r="CW20" s="628"/>
      <c r="CX20" s="621">
        <f t="shared" si="3"/>
        <v>4828</v>
      </c>
      <c r="CY20" s="621">
        <f t="shared" si="1"/>
        <v>5138</v>
      </c>
      <c r="CZ20" s="621">
        <f t="shared" si="1"/>
        <v>13355</v>
      </c>
      <c r="DA20" s="622">
        <f t="shared" si="1"/>
        <v>13592</v>
      </c>
    </row>
    <row r="21" spans="1:105" ht="17.25" x14ac:dyDescent="0.35">
      <c r="A21" s="600" t="s">
        <v>101</v>
      </c>
      <c r="B21" s="601">
        <v>136</v>
      </c>
      <c r="C21" s="602">
        <v>181</v>
      </c>
      <c r="D21" s="602">
        <v>335</v>
      </c>
      <c r="E21" s="603">
        <v>462</v>
      </c>
      <c r="F21" s="604"/>
      <c r="G21" s="605"/>
      <c r="H21" s="605"/>
      <c r="I21" s="606">
        <v>6</v>
      </c>
      <c r="J21" s="604"/>
      <c r="K21" s="605"/>
      <c r="L21" s="605"/>
      <c r="M21" s="606"/>
      <c r="N21" s="604">
        <v>210</v>
      </c>
      <c r="O21" s="605">
        <v>344</v>
      </c>
      <c r="P21" s="605">
        <v>871</v>
      </c>
      <c r="Q21" s="606">
        <v>974</v>
      </c>
      <c r="R21" s="604"/>
      <c r="S21" s="605"/>
      <c r="T21" s="605"/>
      <c r="U21" s="606"/>
      <c r="V21" s="604"/>
      <c r="W21" s="605"/>
      <c r="X21" s="605"/>
      <c r="Y21" s="606"/>
      <c r="Z21" s="604">
        <v>139</v>
      </c>
      <c r="AA21" s="605">
        <v>231</v>
      </c>
      <c r="AB21" s="605">
        <v>472</v>
      </c>
      <c r="AC21" s="606">
        <v>722</v>
      </c>
      <c r="AD21" s="604">
        <v>375</v>
      </c>
      <c r="AE21" s="605">
        <v>45</v>
      </c>
      <c r="AF21" s="605">
        <v>450</v>
      </c>
      <c r="AG21" s="606">
        <v>145</v>
      </c>
      <c r="AH21" s="604">
        <v>272</v>
      </c>
      <c r="AI21" s="605">
        <v>-37</v>
      </c>
      <c r="AJ21" s="605">
        <v>378</v>
      </c>
      <c r="AK21" s="606">
        <v>238</v>
      </c>
      <c r="AL21" s="604"/>
      <c r="AM21" s="605"/>
      <c r="AN21" s="605"/>
      <c r="AO21" s="606"/>
      <c r="AP21" s="604"/>
      <c r="AQ21" s="605"/>
      <c r="AR21" s="605"/>
      <c r="AS21" s="606"/>
      <c r="AT21" s="604"/>
      <c r="AU21" s="605"/>
      <c r="AV21" s="605"/>
      <c r="AW21" s="606"/>
      <c r="AX21" s="607"/>
      <c r="AY21" s="608"/>
      <c r="AZ21" s="608"/>
      <c r="BA21" s="609"/>
      <c r="BB21" s="604"/>
      <c r="BC21" s="605"/>
      <c r="BD21" s="605"/>
      <c r="BE21" s="606"/>
      <c r="BF21" s="604"/>
      <c r="BG21" s="605"/>
      <c r="BH21" s="605"/>
      <c r="BI21" s="606"/>
      <c r="BJ21" s="604">
        <v>257</v>
      </c>
      <c r="BK21" s="605">
        <v>-374</v>
      </c>
      <c r="BL21" s="605">
        <v>848</v>
      </c>
      <c r="BM21" s="606">
        <v>825</v>
      </c>
      <c r="BN21" s="626">
        <v>586</v>
      </c>
      <c r="BO21" s="627">
        <v>192</v>
      </c>
      <c r="BP21" s="627">
        <v>969</v>
      </c>
      <c r="BQ21" s="606">
        <v>493</v>
      </c>
      <c r="BR21" s="604"/>
      <c r="BS21" s="605"/>
      <c r="BT21" s="605"/>
      <c r="BU21" s="606"/>
      <c r="BV21" s="610"/>
      <c r="BW21" s="605"/>
      <c r="BX21" s="605"/>
      <c r="BY21" s="606"/>
      <c r="BZ21" s="611">
        <v>142</v>
      </c>
      <c r="CA21" s="634"/>
      <c r="CB21" s="634">
        <v>142</v>
      </c>
      <c r="CC21" s="635"/>
      <c r="CD21" s="614"/>
      <c r="CE21" s="615"/>
      <c r="CF21" s="615"/>
      <c r="CG21" s="616"/>
      <c r="CH21" s="617"/>
      <c r="CI21" s="618"/>
      <c r="CJ21" s="618"/>
      <c r="CK21" s="619"/>
      <c r="CL21" s="620">
        <v>104</v>
      </c>
      <c r="CM21" s="605">
        <v>24</v>
      </c>
      <c r="CN21" s="605">
        <v>263</v>
      </c>
      <c r="CO21" s="606">
        <v>143</v>
      </c>
      <c r="CP21" s="621">
        <f t="shared" si="2"/>
        <v>2221</v>
      </c>
      <c r="CQ21" s="621">
        <f t="shared" si="2"/>
        <v>606</v>
      </c>
      <c r="CR21" s="621">
        <f t="shared" si="2"/>
        <v>4728</v>
      </c>
      <c r="CS21" s="621">
        <f t="shared" si="2"/>
        <v>4008</v>
      </c>
      <c r="CT21" s="617"/>
      <c r="CU21" s="618"/>
      <c r="CV21" s="618"/>
      <c r="CW21" s="619"/>
      <c r="CX21" s="621">
        <f t="shared" si="3"/>
        <v>2221</v>
      </c>
      <c r="CY21" s="621">
        <f t="shared" si="3"/>
        <v>606</v>
      </c>
      <c r="CZ21" s="621">
        <f t="shared" si="3"/>
        <v>4728</v>
      </c>
      <c r="DA21" s="622">
        <f t="shared" si="3"/>
        <v>4008</v>
      </c>
    </row>
    <row r="22" spans="1:105" x14ac:dyDescent="0.3">
      <c r="A22" s="600" t="s">
        <v>102</v>
      </c>
      <c r="B22" s="601">
        <v>336602</v>
      </c>
      <c r="C22" s="602">
        <v>126660</v>
      </c>
      <c r="D22" s="602">
        <v>787089</v>
      </c>
      <c r="E22" s="603">
        <v>335214</v>
      </c>
      <c r="F22" s="604">
        <v>163232</v>
      </c>
      <c r="G22" s="605">
        <v>129540</v>
      </c>
      <c r="H22" s="605">
        <v>347596</v>
      </c>
      <c r="I22" s="606">
        <v>381104</v>
      </c>
      <c r="J22" s="604">
        <v>76379</v>
      </c>
      <c r="K22" s="605">
        <v>111411</v>
      </c>
      <c r="L22" s="605">
        <v>189856</v>
      </c>
      <c r="M22" s="606">
        <v>212007</v>
      </c>
      <c r="N22" s="604">
        <v>382762</v>
      </c>
      <c r="O22" s="605">
        <v>36602</v>
      </c>
      <c r="P22" s="605">
        <v>748397</v>
      </c>
      <c r="Q22" s="606">
        <v>221490</v>
      </c>
      <c r="R22" s="604">
        <v>642699</v>
      </c>
      <c r="S22" s="605">
        <v>448211</v>
      </c>
      <c r="T22" s="605">
        <v>1816532</v>
      </c>
      <c r="U22" s="606">
        <v>1407813</v>
      </c>
      <c r="V22" s="604">
        <v>100002</v>
      </c>
      <c r="W22" s="605">
        <v>50114</v>
      </c>
      <c r="X22" s="605">
        <v>211146</v>
      </c>
      <c r="Y22" s="606">
        <v>138045</v>
      </c>
      <c r="Z22" s="604">
        <v>-9455</v>
      </c>
      <c r="AA22" s="605">
        <v>174452</v>
      </c>
      <c r="AB22" s="605">
        <v>463781</v>
      </c>
      <c r="AC22" s="606">
        <v>711591</v>
      </c>
      <c r="AD22" s="604">
        <v>67930</v>
      </c>
      <c r="AE22" s="605">
        <v>71820</v>
      </c>
      <c r="AF22" s="605">
        <v>202444</v>
      </c>
      <c r="AG22" s="606">
        <v>129628</v>
      </c>
      <c r="AH22" s="604">
        <v>72260</v>
      </c>
      <c r="AI22" s="605">
        <v>87007</v>
      </c>
      <c r="AJ22" s="605">
        <v>238048</v>
      </c>
      <c r="AK22" s="606">
        <v>278066</v>
      </c>
      <c r="AL22" s="604">
        <v>224812</v>
      </c>
      <c r="AM22" s="605">
        <v>668634</v>
      </c>
      <c r="AN22" s="605">
        <v>780230</v>
      </c>
      <c r="AO22" s="606">
        <v>1119337</v>
      </c>
      <c r="AP22" s="604">
        <v>2324320</v>
      </c>
      <c r="AQ22" s="605">
        <v>1794069</v>
      </c>
      <c r="AR22" s="605">
        <v>6283415</v>
      </c>
      <c r="AS22" s="606">
        <v>4566181</v>
      </c>
      <c r="AT22" s="604">
        <v>1533164</v>
      </c>
      <c r="AU22" s="605">
        <v>477092</v>
      </c>
      <c r="AV22" s="605">
        <v>3928177</v>
      </c>
      <c r="AW22" s="606">
        <v>1292922</v>
      </c>
      <c r="AX22" s="607">
        <v>66785</v>
      </c>
      <c r="AY22" s="608">
        <v>60531</v>
      </c>
      <c r="AZ22" s="608">
        <v>207501</v>
      </c>
      <c r="BA22" s="609">
        <v>189060</v>
      </c>
      <c r="BB22" s="604">
        <v>57251</v>
      </c>
      <c r="BC22" s="605">
        <v>53356</v>
      </c>
      <c r="BD22" s="605">
        <v>172256</v>
      </c>
      <c r="BE22" s="606">
        <v>122983</v>
      </c>
      <c r="BF22" s="604">
        <v>263439</v>
      </c>
      <c r="BG22" s="605">
        <v>243109</v>
      </c>
      <c r="BH22" s="605">
        <v>659624</v>
      </c>
      <c r="BI22" s="606">
        <v>706725</v>
      </c>
      <c r="BJ22" s="604">
        <v>498937</v>
      </c>
      <c r="BK22" s="605">
        <v>789300</v>
      </c>
      <c r="BL22" s="605">
        <v>1270484</v>
      </c>
      <c r="BM22" s="606">
        <v>1531497</v>
      </c>
      <c r="BN22" s="604">
        <v>74168</v>
      </c>
      <c r="BO22" s="605">
        <v>61620</v>
      </c>
      <c r="BP22" s="605">
        <v>200347</v>
      </c>
      <c r="BQ22" s="606">
        <v>141767</v>
      </c>
      <c r="BR22" s="604">
        <v>252694</v>
      </c>
      <c r="BS22" s="605">
        <v>220104</v>
      </c>
      <c r="BT22" s="605">
        <v>750338</v>
      </c>
      <c r="BU22" s="606">
        <v>281882</v>
      </c>
      <c r="BV22" s="610"/>
      <c r="BW22" s="605"/>
      <c r="BX22" s="605"/>
      <c r="BY22" s="606"/>
      <c r="BZ22" s="611">
        <v>222408</v>
      </c>
      <c r="CA22" s="612">
        <v>166964</v>
      </c>
      <c r="CB22" s="612">
        <v>449342</v>
      </c>
      <c r="CC22" s="613">
        <v>542199</v>
      </c>
      <c r="CD22" s="614">
        <v>74505</v>
      </c>
      <c r="CE22" s="615">
        <v>114294</v>
      </c>
      <c r="CF22" s="615">
        <v>155528</v>
      </c>
      <c r="CG22" s="616">
        <v>226102</v>
      </c>
      <c r="CH22" s="617">
        <v>65315</v>
      </c>
      <c r="CI22" s="618">
        <v>15372</v>
      </c>
      <c r="CJ22" s="618">
        <v>147270</v>
      </c>
      <c r="CK22" s="619">
        <v>136533</v>
      </c>
      <c r="CL22" s="620">
        <v>616697</v>
      </c>
      <c r="CM22" s="605">
        <v>159521</v>
      </c>
      <c r="CN22" s="605">
        <v>937961</v>
      </c>
      <c r="CO22" s="606">
        <v>425779</v>
      </c>
      <c r="CP22" s="621">
        <f t="shared" si="2"/>
        <v>8106906</v>
      </c>
      <c r="CQ22" s="621">
        <f t="shared" si="2"/>
        <v>6059783</v>
      </c>
      <c r="CR22" s="621">
        <f t="shared" si="2"/>
        <v>20947362</v>
      </c>
      <c r="CS22" s="621">
        <f t="shared" si="2"/>
        <v>15097925</v>
      </c>
      <c r="CT22" s="617">
        <v>1068491</v>
      </c>
      <c r="CU22" s="618">
        <v>894582</v>
      </c>
      <c r="CV22" s="618">
        <v>2375259</v>
      </c>
      <c r="CW22" s="619">
        <v>2130891</v>
      </c>
      <c r="CX22" s="621">
        <f t="shared" si="3"/>
        <v>9175397</v>
      </c>
      <c r="CY22" s="621">
        <f t="shared" si="3"/>
        <v>6954365</v>
      </c>
      <c r="CZ22" s="621">
        <f t="shared" si="3"/>
        <v>23322621</v>
      </c>
      <c r="DA22" s="622">
        <f t="shared" si="3"/>
        <v>17228816</v>
      </c>
    </row>
    <row r="23" spans="1:105" x14ac:dyDescent="0.3">
      <c r="A23" s="600" t="s">
        <v>103</v>
      </c>
      <c r="B23" s="601">
        <v>20499</v>
      </c>
      <c r="C23" s="602">
        <v>20460</v>
      </c>
      <c r="D23" s="602">
        <v>64844</v>
      </c>
      <c r="E23" s="603">
        <v>50719</v>
      </c>
      <c r="F23" s="604">
        <v>8373</v>
      </c>
      <c r="G23" s="605">
        <v>12097</v>
      </c>
      <c r="H23" s="605">
        <v>22901</v>
      </c>
      <c r="I23" s="606">
        <v>25760</v>
      </c>
      <c r="J23" s="604">
        <v>6274</v>
      </c>
      <c r="K23" s="605">
        <v>7217</v>
      </c>
      <c r="L23" s="605">
        <v>20569</v>
      </c>
      <c r="M23" s="606">
        <v>20934</v>
      </c>
      <c r="N23" s="604">
        <v>9981</v>
      </c>
      <c r="O23" s="605">
        <v>17845</v>
      </c>
      <c r="P23" s="605">
        <v>37087</v>
      </c>
      <c r="Q23" s="606">
        <v>49132</v>
      </c>
      <c r="R23" s="604">
        <v>8774</v>
      </c>
      <c r="S23" s="605">
        <v>6596</v>
      </c>
      <c r="T23" s="605">
        <v>22401</v>
      </c>
      <c r="U23" s="606">
        <v>14795</v>
      </c>
      <c r="V23" s="604">
        <v>10058</v>
      </c>
      <c r="W23" s="605">
        <v>9335</v>
      </c>
      <c r="X23" s="605">
        <v>31210</v>
      </c>
      <c r="Y23" s="606">
        <v>28326</v>
      </c>
      <c r="Z23" s="604">
        <v>4064</v>
      </c>
      <c r="AA23" s="605">
        <v>4215</v>
      </c>
      <c r="AB23" s="605">
        <v>12171</v>
      </c>
      <c r="AC23" s="606">
        <v>10785</v>
      </c>
      <c r="AD23" s="604">
        <v>4278</v>
      </c>
      <c r="AE23" s="605">
        <v>2160</v>
      </c>
      <c r="AF23" s="605">
        <v>11161</v>
      </c>
      <c r="AG23" s="606">
        <v>6116</v>
      </c>
      <c r="AH23" s="604">
        <v>23362</v>
      </c>
      <c r="AI23" s="605">
        <v>11915</v>
      </c>
      <c r="AJ23" s="605">
        <v>51579</v>
      </c>
      <c r="AK23" s="606">
        <v>42071</v>
      </c>
      <c r="AL23" s="604">
        <v>1893</v>
      </c>
      <c r="AM23" s="605">
        <v>3063</v>
      </c>
      <c r="AN23" s="605">
        <v>6319</v>
      </c>
      <c r="AO23" s="606">
        <v>9243</v>
      </c>
      <c r="AP23" s="604">
        <v>33068</v>
      </c>
      <c r="AQ23" s="605">
        <v>24800</v>
      </c>
      <c r="AR23" s="605">
        <v>84796</v>
      </c>
      <c r="AS23" s="606">
        <v>68336</v>
      </c>
      <c r="AT23" s="604">
        <v>55989</v>
      </c>
      <c r="AU23" s="605">
        <v>53514</v>
      </c>
      <c r="AV23" s="605">
        <v>160875</v>
      </c>
      <c r="AW23" s="606">
        <v>140701</v>
      </c>
      <c r="AX23" s="607">
        <v>3245</v>
      </c>
      <c r="AY23" s="608">
        <v>3079</v>
      </c>
      <c r="AZ23" s="608">
        <v>9424</v>
      </c>
      <c r="BA23" s="609">
        <v>7786</v>
      </c>
      <c r="BB23" s="604">
        <v>4244</v>
      </c>
      <c r="BC23" s="605">
        <v>1925</v>
      </c>
      <c r="BD23" s="605">
        <v>11417</v>
      </c>
      <c r="BE23" s="606">
        <v>9449</v>
      </c>
      <c r="BF23" s="604">
        <v>10357</v>
      </c>
      <c r="BG23" s="605">
        <v>10552</v>
      </c>
      <c r="BH23" s="605">
        <v>30323</v>
      </c>
      <c r="BI23" s="606">
        <v>28390</v>
      </c>
      <c r="BJ23" s="604">
        <v>27778</v>
      </c>
      <c r="BK23" s="605">
        <v>27940</v>
      </c>
      <c r="BL23" s="605">
        <v>81267</v>
      </c>
      <c r="BM23" s="606">
        <v>71691</v>
      </c>
      <c r="BN23" s="604">
        <v>19602</v>
      </c>
      <c r="BO23" s="605">
        <v>15162</v>
      </c>
      <c r="BP23" s="605">
        <v>49744</v>
      </c>
      <c r="BQ23" s="606">
        <v>51847</v>
      </c>
      <c r="BR23" s="604">
        <v>18359</v>
      </c>
      <c r="BS23" s="605">
        <v>20006</v>
      </c>
      <c r="BT23" s="605">
        <v>55146</v>
      </c>
      <c r="BU23" s="606">
        <v>56260</v>
      </c>
      <c r="BV23" s="610"/>
      <c r="BW23" s="605"/>
      <c r="BX23" s="605"/>
      <c r="BY23" s="606"/>
      <c r="BZ23" s="611">
        <v>22419</v>
      </c>
      <c r="CA23" s="612">
        <v>17538</v>
      </c>
      <c r="CB23" s="612">
        <v>50737</v>
      </c>
      <c r="CC23" s="613">
        <v>45956</v>
      </c>
      <c r="CD23" s="614">
        <v>2856</v>
      </c>
      <c r="CE23" s="615">
        <v>2917</v>
      </c>
      <c r="CF23" s="615">
        <v>9568</v>
      </c>
      <c r="CG23" s="616">
        <v>10921</v>
      </c>
      <c r="CH23" s="617">
        <v>751</v>
      </c>
      <c r="CI23" s="618">
        <v>812</v>
      </c>
      <c r="CJ23" s="618">
        <v>2091</v>
      </c>
      <c r="CK23" s="619">
        <v>1866</v>
      </c>
      <c r="CL23" s="620">
        <v>19385</v>
      </c>
      <c r="CM23" s="605">
        <v>9216</v>
      </c>
      <c r="CN23" s="605">
        <v>50668</v>
      </c>
      <c r="CO23" s="606">
        <v>26611</v>
      </c>
      <c r="CP23" s="621">
        <f t="shared" si="2"/>
        <v>315609</v>
      </c>
      <c r="CQ23" s="621">
        <f t="shared" si="2"/>
        <v>282364</v>
      </c>
      <c r="CR23" s="621">
        <f t="shared" si="2"/>
        <v>876298</v>
      </c>
      <c r="CS23" s="621">
        <f t="shared" si="2"/>
        <v>777695</v>
      </c>
      <c r="CT23" s="617">
        <v>42231</v>
      </c>
      <c r="CU23" s="618">
        <v>41166</v>
      </c>
      <c r="CV23" s="618">
        <v>215738</v>
      </c>
      <c r="CW23" s="619">
        <v>283200</v>
      </c>
      <c r="CX23" s="621">
        <f t="shared" si="3"/>
        <v>357840</v>
      </c>
      <c r="CY23" s="621">
        <f t="shared" si="3"/>
        <v>323530</v>
      </c>
      <c r="CZ23" s="621">
        <f t="shared" si="3"/>
        <v>1092036</v>
      </c>
      <c r="DA23" s="622">
        <f t="shared" si="3"/>
        <v>1060895</v>
      </c>
    </row>
    <row r="24" spans="1:105" x14ac:dyDescent="0.3">
      <c r="A24" s="600" t="s">
        <v>104</v>
      </c>
      <c r="B24" s="601">
        <v>1667</v>
      </c>
      <c r="C24" s="602">
        <v>961</v>
      </c>
      <c r="D24" s="602">
        <v>-10038</v>
      </c>
      <c r="E24" s="603">
        <v>12476</v>
      </c>
      <c r="F24" s="604">
        <v>4058</v>
      </c>
      <c r="G24" s="605">
        <v>8687</v>
      </c>
      <c r="H24" s="605">
        <v>16723</v>
      </c>
      <c r="I24" s="606">
        <v>16667</v>
      </c>
      <c r="J24" s="604"/>
      <c r="K24" s="605"/>
      <c r="L24" s="605"/>
      <c r="M24" s="606"/>
      <c r="N24" s="604"/>
      <c r="O24" s="605"/>
      <c r="P24" s="605"/>
      <c r="Q24" s="606"/>
      <c r="R24" s="604">
        <v>107189</v>
      </c>
      <c r="S24" s="605">
        <v>127480</v>
      </c>
      <c r="T24" s="605">
        <v>338411</v>
      </c>
      <c r="U24" s="606">
        <v>235590</v>
      </c>
      <c r="V24" s="604"/>
      <c r="W24" s="605"/>
      <c r="X24" s="605"/>
      <c r="Y24" s="606"/>
      <c r="Z24" s="604">
        <v>5689</v>
      </c>
      <c r="AA24" s="605">
        <v>7060</v>
      </c>
      <c r="AB24" s="605">
        <v>20218</v>
      </c>
      <c r="AC24" s="606">
        <v>20937</v>
      </c>
      <c r="AD24" s="604"/>
      <c r="AE24" s="605"/>
      <c r="AF24" s="605"/>
      <c r="AG24" s="606"/>
      <c r="AH24" s="604">
        <v>26482</v>
      </c>
      <c r="AI24" s="605">
        <v>20245</v>
      </c>
      <c r="AJ24" s="605">
        <v>58551</v>
      </c>
      <c r="AK24" s="606">
        <v>58105</v>
      </c>
      <c r="AL24" s="604"/>
      <c r="AM24" s="605"/>
      <c r="AN24" s="605"/>
      <c r="AO24" s="606"/>
      <c r="AP24" s="604"/>
      <c r="AQ24" s="605"/>
      <c r="AR24" s="605"/>
      <c r="AS24" s="606"/>
      <c r="AT24" s="604"/>
      <c r="AU24" s="605"/>
      <c r="AV24" s="605"/>
      <c r="AW24" s="606"/>
      <c r="AX24" s="607"/>
      <c r="AY24" s="608"/>
      <c r="AZ24" s="608"/>
      <c r="BA24" s="609"/>
      <c r="BB24" s="604"/>
      <c r="BC24" s="605"/>
      <c r="BD24" s="605"/>
      <c r="BE24" s="606"/>
      <c r="BF24" s="604"/>
      <c r="BG24" s="605"/>
      <c r="BH24" s="605"/>
      <c r="BI24" s="606"/>
      <c r="BJ24" s="604">
        <v>78192</v>
      </c>
      <c r="BK24" s="605">
        <v>39449</v>
      </c>
      <c r="BL24" s="605">
        <v>157086</v>
      </c>
      <c r="BM24" s="606">
        <v>133941</v>
      </c>
      <c r="BN24" s="604"/>
      <c r="BO24" s="605"/>
      <c r="BP24" s="605"/>
      <c r="BQ24" s="606"/>
      <c r="BR24" s="604"/>
      <c r="BS24" s="605"/>
      <c r="BT24" s="605"/>
      <c r="BU24" s="606"/>
      <c r="BV24" s="610"/>
      <c r="BW24" s="605"/>
      <c r="BX24" s="605"/>
      <c r="BY24" s="606"/>
      <c r="BZ24" s="611">
        <v>3648</v>
      </c>
      <c r="CA24" s="612">
        <v>2677</v>
      </c>
      <c r="CB24" s="612">
        <v>10035</v>
      </c>
      <c r="CC24" s="613">
        <v>7049</v>
      </c>
      <c r="CD24" s="614"/>
      <c r="CE24" s="615"/>
      <c r="CF24" s="615"/>
      <c r="CG24" s="616"/>
      <c r="CH24" s="617"/>
      <c r="CI24" s="618"/>
      <c r="CJ24" s="618"/>
      <c r="CK24" s="619"/>
      <c r="CL24" s="620"/>
      <c r="CM24" s="605"/>
      <c r="CN24" s="605"/>
      <c r="CO24" s="606"/>
      <c r="CP24" s="621">
        <f t="shared" si="2"/>
        <v>226925</v>
      </c>
      <c r="CQ24" s="621">
        <f t="shared" si="2"/>
        <v>206559</v>
      </c>
      <c r="CR24" s="621">
        <f t="shared" si="2"/>
        <v>590986</v>
      </c>
      <c r="CS24" s="621">
        <f t="shared" si="2"/>
        <v>484765</v>
      </c>
      <c r="CT24" s="617"/>
      <c r="CU24" s="618"/>
      <c r="CV24" s="618"/>
      <c r="CW24" s="619"/>
      <c r="CX24" s="621">
        <f t="shared" si="3"/>
        <v>226925</v>
      </c>
      <c r="CY24" s="621">
        <f t="shared" si="3"/>
        <v>206559</v>
      </c>
      <c r="CZ24" s="621">
        <f t="shared" si="3"/>
        <v>590986</v>
      </c>
      <c r="DA24" s="622">
        <f t="shared" si="3"/>
        <v>484765</v>
      </c>
    </row>
    <row r="25" spans="1:105" ht="17.25" x14ac:dyDescent="0.35">
      <c r="A25" s="600" t="s">
        <v>105</v>
      </c>
      <c r="B25" s="621">
        <v>162873</v>
      </c>
      <c r="C25" s="624">
        <v>147049</v>
      </c>
      <c r="D25" s="624">
        <v>476200</v>
      </c>
      <c r="E25" s="625">
        <v>430548</v>
      </c>
      <c r="F25" s="626">
        <v>60269</v>
      </c>
      <c r="G25" s="627">
        <v>51718</v>
      </c>
      <c r="H25" s="627">
        <v>179999</v>
      </c>
      <c r="I25" s="628">
        <v>156104</v>
      </c>
      <c r="J25" s="626">
        <v>53597</v>
      </c>
      <c r="K25" s="627">
        <v>39481</v>
      </c>
      <c r="L25" s="627">
        <v>148427</v>
      </c>
      <c r="M25" s="628">
        <v>120681</v>
      </c>
      <c r="N25" s="626">
        <v>151086</v>
      </c>
      <c r="O25" s="627">
        <v>119049</v>
      </c>
      <c r="P25" s="627">
        <v>525296</v>
      </c>
      <c r="Q25" s="628">
        <v>393734</v>
      </c>
      <c r="R25" s="626">
        <v>113332</v>
      </c>
      <c r="S25" s="627">
        <v>86937</v>
      </c>
      <c r="T25" s="627">
        <v>265581</v>
      </c>
      <c r="U25" s="628">
        <v>284585</v>
      </c>
      <c r="V25" s="626">
        <v>66681</v>
      </c>
      <c r="W25" s="627">
        <v>66802</v>
      </c>
      <c r="X25" s="627">
        <v>193941</v>
      </c>
      <c r="Y25" s="628">
        <v>201416</v>
      </c>
      <c r="Z25" s="626">
        <v>39623</v>
      </c>
      <c r="AA25" s="627">
        <v>25238</v>
      </c>
      <c r="AB25" s="627">
        <v>104773</v>
      </c>
      <c r="AC25" s="628">
        <v>107554</v>
      </c>
      <c r="AD25" s="626">
        <v>39806</v>
      </c>
      <c r="AE25" s="627">
        <v>20322</v>
      </c>
      <c r="AF25" s="627">
        <v>102346</v>
      </c>
      <c r="AG25" s="628">
        <v>59523</v>
      </c>
      <c r="AH25" s="626"/>
      <c r="AI25" s="627"/>
      <c r="AJ25" s="627"/>
      <c r="AK25" s="628"/>
      <c r="AL25" s="626">
        <v>27289</v>
      </c>
      <c r="AM25" s="627">
        <v>16672</v>
      </c>
      <c r="AN25" s="627">
        <v>66558</v>
      </c>
      <c r="AO25" s="628">
        <v>40137</v>
      </c>
      <c r="AP25" s="626">
        <v>250032</v>
      </c>
      <c r="AQ25" s="627">
        <v>230922</v>
      </c>
      <c r="AR25" s="627">
        <v>822395</v>
      </c>
      <c r="AS25" s="628">
        <v>599742</v>
      </c>
      <c r="AT25" s="626">
        <v>209320</v>
      </c>
      <c r="AU25" s="627">
        <v>219795</v>
      </c>
      <c r="AV25" s="627">
        <v>671384</v>
      </c>
      <c r="AW25" s="628">
        <v>583540</v>
      </c>
      <c r="AX25" s="607">
        <v>37807</v>
      </c>
      <c r="AY25" s="608">
        <v>34916</v>
      </c>
      <c r="AZ25" s="608">
        <v>102926</v>
      </c>
      <c r="BA25" s="609">
        <v>89649</v>
      </c>
      <c r="BB25" s="626">
        <v>74136</v>
      </c>
      <c r="BC25" s="627">
        <v>83305</v>
      </c>
      <c r="BD25" s="627">
        <v>225314</v>
      </c>
      <c r="BE25" s="628">
        <v>225929</v>
      </c>
      <c r="BF25" s="629">
        <v>53804</v>
      </c>
      <c r="BG25" s="630">
        <v>68964</v>
      </c>
      <c r="BH25" s="630">
        <v>171673</v>
      </c>
      <c r="BI25" s="631">
        <v>176740</v>
      </c>
      <c r="BJ25" s="626">
        <v>144033</v>
      </c>
      <c r="BK25" s="627">
        <v>100228</v>
      </c>
      <c r="BL25" s="627">
        <v>420470</v>
      </c>
      <c r="BM25" s="628">
        <v>284239</v>
      </c>
      <c r="BN25" s="626">
        <v>94343</v>
      </c>
      <c r="BO25" s="627">
        <v>64693</v>
      </c>
      <c r="BP25" s="627">
        <v>233680</v>
      </c>
      <c r="BQ25" s="628">
        <v>191981</v>
      </c>
      <c r="BR25" s="626">
        <v>92846</v>
      </c>
      <c r="BS25" s="627">
        <v>76341</v>
      </c>
      <c r="BT25" s="627">
        <v>232377</v>
      </c>
      <c r="BU25" s="628">
        <v>215479</v>
      </c>
      <c r="BV25" s="610"/>
      <c r="BW25" s="605"/>
      <c r="BX25" s="605"/>
      <c r="BY25" s="606"/>
      <c r="BZ25" s="611">
        <v>118830</v>
      </c>
      <c r="CA25" s="612">
        <v>125474</v>
      </c>
      <c r="CB25" s="612">
        <v>456404</v>
      </c>
      <c r="CC25" s="613">
        <v>353834</v>
      </c>
      <c r="CD25" s="614"/>
      <c r="CE25" s="615"/>
      <c r="CF25" s="615"/>
      <c r="CG25" s="616"/>
      <c r="CH25" s="617">
        <v>37654</v>
      </c>
      <c r="CI25" s="618">
        <v>33514</v>
      </c>
      <c r="CJ25" s="618">
        <v>103528</v>
      </c>
      <c r="CK25" s="619">
        <v>114160</v>
      </c>
      <c r="CL25" s="632">
        <v>122316</v>
      </c>
      <c r="CM25" s="627">
        <v>91509</v>
      </c>
      <c r="CN25" s="627">
        <v>344689</v>
      </c>
      <c r="CO25" s="628">
        <v>269986</v>
      </c>
      <c r="CP25" s="621">
        <f t="shared" si="2"/>
        <v>1949677</v>
      </c>
      <c r="CQ25" s="621">
        <f t="shared" si="2"/>
        <v>1702929</v>
      </c>
      <c r="CR25" s="621">
        <f t="shared" si="2"/>
        <v>5847961</v>
      </c>
      <c r="CS25" s="621">
        <f t="shared" si="2"/>
        <v>4899561</v>
      </c>
      <c r="CT25" s="632"/>
      <c r="CU25" s="627"/>
      <c r="CV25" s="627"/>
      <c r="CW25" s="628"/>
      <c r="CX25" s="621">
        <f t="shared" si="3"/>
        <v>1949677</v>
      </c>
      <c r="CY25" s="621">
        <f t="shared" si="3"/>
        <v>1702929</v>
      </c>
      <c r="CZ25" s="621">
        <f t="shared" si="3"/>
        <v>5847961</v>
      </c>
      <c r="DA25" s="622">
        <f t="shared" si="3"/>
        <v>4899561</v>
      </c>
    </row>
    <row r="26" spans="1:105" x14ac:dyDescent="0.3">
      <c r="A26" s="600" t="s">
        <v>106</v>
      </c>
      <c r="B26" s="601"/>
      <c r="C26" s="602"/>
      <c r="D26" s="602"/>
      <c r="E26" s="603"/>
      <c r="F26" s="604">
        <v>289</v>
      </c>
      <c r="G26" s="605">
        <v>-20</v>
      </c>
      <c r="H26" s="605">
        <v>439</v>
      </c>
      <c r="I26" s="606">
        <v>2545</v>
      </c>
      <c r="J26" s="604">
        <v>-8622</v>
      </c>
      <c r="K26" s="605">
        <v>4514</v>
      </c>
      <c r="L26" s="605">
        <v>1</v>
      </c>
      <c r="M26" s="606">
        <v>11035</v>
      </c>
      <c r="N26" s="604">
        <v>65759</v>
      </c>
      <c r="O26" s="605">
        <v>21800</v>
      </c>
      <c r="P26" s="605">
        <v>145516</v>
      </c>
      <c r="Q26" s="606">
        <v>3724</v>
      </c>
      <c r="R26" s="604"/>
      <c r="S26" s="605">
        <v>-2</v>
      </c>
      <c r="T26" s="605"/>
      <c r="U26" s="606">
        <v>6422</v>
      </c>
      <c r="V26" s="604"/>
      <c r="W26" s="605"/>
      <c r="X26" s="605"/>
      <c r="Y26" s="606"/>
      <c r="Z26" s="604"/>
      <c r="AA26" s="605"/>
      <c r="AB26" s="605"/>
      <c r="AC26" s="606"/>
      <c r="AD26" s="604">
        <v>381</v>
      </c>
      <c r="AE26" s="605">
        <v>-2401</v>
      </c>
      <c r="AF26" s="605">
        <v>4189</v>
      </c>
      <c r="AG26" s="606">
        <v>1422</v>
      </c>
      <c r="AH26" s="604"/>
      <c r="AI26" s="605">
        <v>501</v>
      </c>
      <c r="AJ26" s="605"/>
      <c r="AK26" s="606">
        <v>10670</v>
      </c>
      <c r="AL26" s="604">
        <v>2762</v>
      </c>
      <c r="AM26" s="605">
        <v>1313</v>
      </c>
      <c r="AN26" s="605">
        <v>3580</v>
      </c>
      <c r="AO26" s="606">
        <v>12536</v>
      </c>
      <c r="AP26" s="604">
        <v>-4824</v>
      </c>
      <c r="AQ26" s="605">
        <v>1832</v>
      </c>
      <c r="AR26" s="605">
        <v>12865</v>
      </c>
      <c r="AS26" s="606">
        <v>52032</v>
      </c>
      <c r="AT26" s="604">
        <v>-29209</v>
      </c>
      <c r="AU26" s="605">
        <v>25581</v>
      </c>
      <c r="AV26" s="605">
        <v>-144175</v>
      </c>
      <c r="AW26" s="606">
        <v>32444</v>
      </c>
      <c r="AX26" s="607"/>
      <c r="AY26" s="608"/>
      <c r="AZ26" s="608"/>
      <c r="BA26" s="609"/>
      <c r="BB26" s="604"/>
      <c r="BC26" s="605"/>
      <c r="BD26" s="605"/>
      <c r="BE26" s="606"/>
      <c r="BF26" s="604">
        <v>17013</v>
      </c>
      <c r="BG26" s="605">
        <v>3325</v>
      </c>
      <c r="BH26" s="605">
        <v>36266</v>
      </c>
      <c r="BI26" s="606">
        <v>16748</v>
      </c>
      <c r="BJ26" s="604">
        <f>20976+6404</f>
        <v>27380</v>
      </c>
      <c r="BK26" s="605">
        <f>22660+50455</f>
        <v>73115</v>
      </c>
      <c r="BL26" s="605">
        <f>46880+18876</f>
        <v>65756</v>
      </c>
      <c r="BM26" s="606">
        <f>76691+158060</f>
        <v>234751</v>
      </c>
      <c r="BN26" s="604"/>
      <c r="BO26" s="605"/>
      <c r="BP26" s="605"/>
      <c r="BQ26" s="606"/>
      <c r="BR26" s="604"/>
      <c r="BS26" s="605"/>
      <c r="BT26" s="605"/>
      <c r="BU26" s="606"/>
      <c r="BV26" s="610"/>
      <c r="BW26" s="605"/>
      <c r="BX26" s="605"/>
      <c r="BY26" s="606"/>
      <c r="BZ26" s="611">
        <v>12884</v>
      </c>
      <c r="CA26" s="612">
        <v>67</v>
      </c>
      <c r="CB26" s="612">
        <v>93565</v>
      </c>
      <c r="CC26" s="613">
        <v>24387</v>
      </c>
      <c r="CD26" s="614">
        <v>358</v>
      </c>
      <c r="CE26" s="615">
        <v>21086</v>
      </c>
      <c r="CF26" s="615">
        <v>4349</v>
      </c>
      <c r="CG26" s="616">
        <v>24695</v>
      </c>
      <c r="CH26" s="617">
        <v>-339</v>
      </c>
      <c r="CI26" s="618">
        <v>7966</v>
      </c>
      <c r="CJ26" s="618">
        <v>8264</v>
      </c>
      <c r="CK26" s="619">
        <v>1036</v>
      </c>
      <c r="CL26" s="620"/>
      <c r="CM26" s="605"/>
      <c r="CN26" s="605"/>
      <c r="CO26" s="606"/>
      <c r="CP26" s="621">
        <f t="shared" si="2"/>
        <v>83832</v>
      </c>
      <c r="CQ26" s="621">
        <f t="shared" si="2"/>
        <v>158677</v>
      </c>
      <c r="CR26" s="621">
        <f t="shared" si="2"/>
        <v>230615</v>
      </c>
      <c r="CS26" s="621">
        <f t="shared" si="2"/>
        <v>434447</v>
      </c>
      <c r="CT26" s="617">
        <v>7085153</v>
      </c>
      <c r="CU26" s="618">
        <v>7563992</v>
      </c>
      <c r="CV26" s="618">
        <v>21137117</v>
      </c>
      <c r="CW26" s="619">
        <v>19931694</v>
      </c>
      <c r="CX26" s="621">
        <f t="shared" si="3"/>
        <v>7168985</v>
      </c>
      <c r="CY26" s="621">
        <f t="shared" si="3"/>
        <v>7722669</v>
      </c>
      <c r="CZ26" s="621">
        <f t="shared" si="3"/>
        <v>21367732</v>
      </c>
      <c r="DA26" s="622">
        <f t="shared" si="3"/>
        <v>20366141</v>
      </c>
    </row>
    <row r="27" spans="1:105" x14ac:dyDescent="0.3">
      <c r="A27" s="600" t="s">
        <v>107</v>
      </c>
      <c r="B27" s="601">
        <v>63456</v>
      </c>
      <c r="C27" s="602">
        <v>43840</v>
      </c>
      <c r="D27" s="602">
        <v>239241</v>
      </c>
      <c r="E27" s="603">
        <v>141901</v>
      </c>
      <c r="F27" s="604">
        <v>17750</v>
      </c>
      <c r="G27" s="605">
        <v>18427</v>
      </c>
      <c r="H27" s="605">
        <v>59070</v>
      </c>
      <c r="I27" s="606">
        <v>48370</v>
      </c>
      <c r="J27" s="604"/>
      <c r="K27" s="605"/>
      <c r="L27" s="605"/>
      <c r="M27" s="606"/>
      <c r="N27" s="604">
        <v>94028</v>
      </c>
      <c r="O27" s="605">
        <v>84898</v>
      </c>
      <c r="P27" s="605">
        <v>253858</v>
      </c>
      <c r="Q27" s="606">
        <v>250895</v>
      </c>
      <c r="R27" s="604">
        <v>16956</v>
      </c>
      <c r="S27" s="605">
        <v>23019</v>
      </c>
      <c r="T27" s="605">
        <v>57736</v>
      </c>
      <c r="U27" s="606">
        <v>79315</v>
      </c>
      <c r="V27" s="604"/>
      <c r="W27" s="605"/>
      <c r="X27" s="605"/>
      <c r="Y27" s="606"/>
      <c r="Z27" s="604">
        <v>48852</v>
      </c>
      <c r="AA27" s="605">
        <v>58093</v>
      </c>
      <c r="AB27" s="605">
        <v>145442</v>
      </c>
      <c r="AC27" s="606">
        <v>193782</v>
      </c>
      <c r="AD27" s="604">
        <v>10781</v>
      </c>
      <c r="AE27" s="605">
        <v>15143</v>
      </c>
      <c r="AF27" s="605">
        <v>30186</v>
      </c>
      <c r="AG27" s="606">
        <v>31167</v>
      </c>
      <c r="AH27" s="604">
        <v>17294</v>
      </c>
      <c r="AI27" s="605">
        <v>25994</v>
      </c>
      <c r="AJ27" s="605">
        <v>115079</v>
      </c>
      <c r="AK27" s="606">
        <v>211005</v>
      </c>
      <c r="AL27" s="604"/>
      <c r="AM27" s="605"/>
      <c r="AN27" s="605"/>
      <c r="AO27" s="606"/>
      <c r="AP27" s="604">
        <v>238256</v>
      </c>
      <c r="AQ27" s="605">
        <v>211784</v>
      </c>
      <c r="AR27" s="605">
        <v>667516</v>
      </c>
      <c r="AS27" s="606">
        <v>558703</v>
      </c>
      <c r="AT27" s="604"/>
      <c r="AU27" s="605"/>
      <c r="AV27" s="605"/>
      <c r="AW27" s="606"/>
      <c r="AX27" s="607">
        <v>7304</v>
      </c>
      <c r="AY27" s="608">
        <v>7248</v>
      </c>
      <c r="AZ27" s="608">
        <v>18997</v>
      </c>
      <c r="BA27" s="609">
        <v>19731</v>
      </c>
      <c r="BB27" s="604">
        <v>12708</v>
      </c>
      <c r="BC27" s="605">
        <v>14769</v>
      </c>
      <c r="BD27" s="605">
        <v>48415</v>
      </c>
      <c r="BE27" s="606">
        <v>53266</v>
      </c>
      <c r="BF27" s="604">
        <v>92319</v>
      </c>
      <c r="BG27" s="605">
        <v>68142</v>
      </c>
      <c r="BH27" s="605">
        <v>282928</v>
      </c>
      <c r="BI27" s="606">
        <v>205540</v>
      </c>
      <c r="BJ27" s="604">
        <v>368990</v>
      </c>
      <c r="BK27" s="605">
        <v>183976</v>
      </c>
      <c r="BL27" s="605">
        <v>761794</v>
      </c>
      <c r="BM27" s="606">
        <v>495680</v>
      </c>
      <c r="BN27" s="604"/>
      <c r="BO27" s="605"/>
      <c r="BP27" s="605"/>
      <c r="BQ27" s="606"/>
      <c r="BR27" s="604">
        <v>11035</v>
      </c>
      <c r="BS27" s="605">
        <v>12063</v>
      </c>
      <c r="BT27" s="605">
        <v>29433</v>
      </c>
      <c r="BU27" s="606">
        <v>19383</v>
      </c>
      <c r="BV27" s="610"/>
      <c r="BW27" s="605"/>
      <c r="BX27" s="605"/>
      <c r="BY27" s="606"/>
      <c r="BZ27" s="611">
        <v>179965</v>
      </c>
      <c r="CA27" s="612">
        <v>176676</v>
      </c>
      <c r="CB27" s="612">
        <v>402100</v>
      </c>
      <c r="CC27" s="613">
        <v>376690</v>
      </c>
      <c r="CD27" s="614"/>
      <c r="CE27" s="615"/>
      <c r="CF27" s="615"/>
      <c r="CG27" s="616"/>
      <c r="CH27" s="617">
        <v>6558</v>
      </c>
      <c r="CI27" s="618">
        <v>6475</v>
      </c>
      <c r="CJ27" s="618">
        <v>20931</v>
      </c>
      <c r="CK27" s="619">
        <v>21157</v>
      </c>
      <c r="CL27" s="620">
        <v>80580</v>
      </c>
      <c r="CM27" s="605">
        <v>26511</v>
      </c>
      <c r="CN27" s="605">
        <v>184970</v>
      </c>
      <c r="CO27" s="606">
        <v>111548</v>
      </c>
      <c r="CP27" s="621">
        <f t="shared" si="2"/>
        <v>1266832</v>
      </c>
      <c r="CQ27" s="621">
        <f t="shared" si="2"/>
        <v>977058</v>
      </c>
      <c r="CR27" s="621">
        <f t="shared" si="2"/>
        <v>3317696</v>
      </c>
      <c r="CS27" s="621">
        <f t="shared" si="2"/>
        <v>2818133</v>
      </c>
      <c r="CT27" s="617">
        <v>366881</v>
      </c>
      <c r="CU27" s="618">
        <v>494356</v>
      </c>
      <c r="CV27" s="618">
        <v>2059872</v>
      </c>
      <c r="CW27" s="619">
        <v>1696078</v>
      </c>
      <c r="CX27" s="621">
        <f t="shared" si="3"/>
        <v>1633713</v>
      </c>
      <c r="CY27" s="621">
        <f t="shared" si="3"/>
        <v>1471414</v>
      </c>
      <c r="CZ27" s="621">
        <f t="shared" si="3"/>
        <v>5377568</v>
      </c>
      <c r="DA27" s="622">
        <f t="shared" si="3"/>
        <v>4514211</v>
      </c>
    </row>
    <row r="28" spans="1:105" x14ac:dyDescent="0.3">
      <c r="A28" s="600" t="s">
        <v>108</v>
      </c>
      <c r="B28" s="601">
        <v>57347</v>
      </c>
      <c r="C28" s="602">
        <v>115343</v>
      </c>
      <c r="D28" s="602">
        <v>160890</v>
      </c>
      <c r="E28" s="603">
        <v>324127</v>
      </c>
      <c r="F28" s="604">
        <v>26510</v>
      </c>
      <c r="G28" s="605">
        <v>21011</v>
      </c>
      <c r="H28" s="605">
        <v>78090</v>
      </c>
      <c r="I28" s="606">
        <v>60818</v>
      </c>
      <c r="J28" s="604">
        <v>15755</v>
      </c>
      <c r="K28" s="605">
        <v>23939</v>
      </c>
      <c r="L28" s="605">
        <v>58498</v>
      </c>
      <c r="M28" s="606">
        <v>72416</v>
      </c>
      <c r="N28" s="604">
        <v>68723</v>
      </c>
      <c r="O28" s="605">
        <v>67631</v>
      </c>
      <c r="P28" s="605">
        <v>199519</v>
      </c>
      <c r="Q28" s="606">
        <v>167245</v>
      </c>
      <c r="R28" s="604">
        <v>27267</v>
      </c>
      <c r="S28" s="605">
        <v>17461</v>
      </c>
      <c r="T28" s="605">
        <v>83885</v>
      </c>
      <c r="U28" s="606">
        <v>51041</v>
      </c>
      <c r="V28" s="604">
        <v>13718</v>
      </c>
      <c r="W28" s="605">
        <v>15044</v>
      </c>
      <c r="X28" s="605">
        <v>49968</v>
      </c>
      <c r="Y28" s="606">
        <v>44586</v>
      </c>
      <c r="Z28" s="604">
        <v>15651</v>
      </c>
      <c r="AA28" s="605">
        <v>51698</v>
      </c>
      <c r="AB28" s="605">
        <v>141649</v>
      </c>
      <c r="AC28" s="606">
        <v>144649</v>
      </c>
      <c r="AD28" s="604">
        <v>59356</v>
      </c>
      <c r="AE28" s="605">
        <v>39171</v>
      </c>
      <c r="AF28" s="605">
        <v>167205</v>
      </c>
      <c r="AG28" s="606">
        <v>94953</v>
      </c>
      <c r="AH28" s="604">
        <v>43315</v>
      </c>
      <c r="AI28" s="605">
        <v>24785</v>
      </c>
      <c r="AJ28" s="605">
        <v>112325</v>
      </c>
      <c r="AK28" s="606">
        <v>70073</v>
      </c>
      <c r="AL28" s="604">
        <v>34280</v>
      </c>
      <c r="AM28" s="605">
        <v>42062</v>
      </c>
      <c r="AN28" s="605">
        <v>107633</v>
      </c>
      <c r="AO28" s="606">
        <v>105781</v>
      </c>
      <c r="AP28" s="604">
        <v>99443</v>
      </c>
      <c r="AQ28" s="605">
        <v>94446</v>
      </c>
      <c r="AR28" s="605">
        <v>308364</v>
      </c>
      <c r="AS28" s="606">
        <v>293470</v>
      </c>
      <c r="AT28" s="604">
        <v>154116</v>
      </c>
      <c r="AU28" s="605">
        <v>112655</v>
      </c>
      <c r="AV28" s="605">
        <v>408613</v>
      </c>
      <c r="AW28" s="606">
        <v>314822</v>
      </c>
      <c r="AX28" s="607">
        <v>27441</v>
      </c>
      <c r="AY28" s="608">
        <v>26269</v>
      </c>
      <c r="AZ28" s="608">
        <v>81598</v>
      </c>
      <c r="BA28" s="609">
        <v>78144</v>
      </c>
      <c r="BB28" s="604">
        <v>30660</v>
      </c>
      <c r="BC28" s="605">
        <v>28081</v>
      </c>
      <c r="BD28" s="605">
        <v>105098</v>
      </c>
      <c r="BE28" s="606">
        <v>78343</v>
      </c>
      <c r="BF28" s="604">
        <v>98185</v>
      </c>
      <c r="BG28" s="605">
        <v>77691</v>
      </c>
      <c r="BH28" s="605">
        <v>275331</v>
      </c>
      <c r="BI28" s="606">
        <v>223428</v>
      </c>
      <c r="BJ28" s="604">
        <v>189409</v>
      </c>
      <c r="BK28" s="605">
        <v>173125</v>
      </c>
      <c r="BL28" s="605">
        <v>590416</v>
      </c>
      <c r="BM28" s="606">
        <v>450530</v>
      </c>
      <c r="BN28" s="604">
        <v>73850</v>
      </c>
      <c r="BO28" s="605">
        <v>50828</v>
      </c>
      <c r="BP28" s="605">
        <v>202520</v>
      </c>
      <c r="BQ28" s="606">
        <v>152534</v>
      </c>
      <c r="BR28" s="604">
        <v>38785</v>
      </c>
      <c r="BS28" s="605">
        <v>35418</v>
      </c>
      <c r="BT28" s="605">
        <v>124155</v>
      </c>
      <c r="BU28" s="606">
        <v>123135</v>
      </c>
      <c r="BV28" s="610"/>
      <c r="BW28" s="605"/>
      <c r="BX28" s="605"/>
      <c r="BY28" s="606"/>
      <c r="BZ28" s="611">
        <v>212681</v>
      </c>
      <c r="CA28" s="612">
        <v>161488</v>
      </c>
      <c r="CB28" s="612">
        <v>577372</v>
      </c>
      <c r="CC28" s="613">
        <v>424191</v>
      </c>
      <c r="CD28" s="614">
        <v>16924</v>
      </c>
      <c r="CE28" s="615">
        <v>15150</v>
      </c>
      <c r="CF28" s="615">
        <v>50163</v>
      </c>
      <c r="CG28" s="616">
        <v>46828</v>
      </c>
      <c r="CH28" s="617">
        <v>25046</v>
      </c>
      <c r="CI28" s="618">
        <v>32087</v>
      </c>
      <c r="CJ28" s="618">
        <v>85780</v>
      </c>
      <c r="CK28" s="619">
        <v>86537</v>
      </c>
      <c r="CL28" s="620">
        <f>133017+4376</f>
        <v>137393</v>
      </c>
      <c r="CM28" s="605">
        <f>101867+4376</f>
        <v>106243</v>
      </c>
      <c r="CN28" s="605">
        <f>373230+13126</f>
        <v>386356</v>
      </c>
      <c r="CO28" s="606">
        <f>268144+13126</f>
        <v>281270</v>
      </c>
      <c r="CP28" s="621">
        <f t="shared" si="2"/>
        <v>1465855</v>
      </c>
      <c r="CQ28" s="621">
        <f t="shared" si="2"/>
        <v>1331626</v>
      </c>
      <c r="CR28" s="621">
        <f t="shared" si="2"/>
        <v>4355428</v>
      </c>
      <c r="CS28" s="621">
        <f t="shared" si="2"/>
        <v>3688921</v>
      </c>
      <c r="CT28" s="617">
        <v>778766</v>
      </c>
      <c r="CU28" s="618">
        <v>784868</v>
      </c>
      <c r="CV28" s="618">
        <v>2362007</v>
      </c>
      <c r="CW28" s="619">
        <v>2199737</v>
      </c>
      <c r="CX28" s="621">
        <f t="shared" si="3"/>
        <v>2244621</v>
      </c>
      <c r="CY28" s="621">
        <f t="shared" si="3"/>
        <v>2116494</v>
      </c>
      <c r="CZ28" s="621">
        <f t="shared" si="3"/>
        <v>6717435</v>
      </c>
      <c r="DA28" s="622">
        <f t="shared" si="3"/>
        <v>5888658</v>
      </c>
    </row>
    <row r="29" spans="1:105" x14ac:dyDescent="0.3">
      <c r="A29" s="600" t="s">
        <v>109</v>
      </c>
      <c r="B29" s="601">
        <v>-610</v>
      </c>
      <c r="C29" s="602">
        <v>-190</v>
      </c>
      <c r="D29" s="602">
        <v>-1230</v>
      </c>
      <c r="E29" s="603">
        <v>-861</v>
      </c>
      <c r="F29" s="604"/>
      <c r="G29" s="605"/>
      <c r="H29" s="605"/>
      <c r="I29" s="606"/>
      <c r="J29" s="604"/>
      <c r="K29" s="605"/>
      <c r="L29" s="605"/>
      <c r="M29" s="606"/>
      <c r="N29" s="604"/>
      <c r="O29" s="605"/>
      <c r="P29" s="605"/>
      <c r="Q29" s="606"/>
      <c r="R29" s="604"/>
      <c r="S29" s="605"/>
      <c r="T29" s="605"/>
      <c r="U29" s="606"/>
      <c r="V29" s="604"/>
      <c r="W29" s="605"/>
      <c r="X29" s="605"/>
      <c r="Y29" s="606"/>
      <c r="Z29" s="604">
        <v>-333</v>
      </c>
      <c r="AA29" s="605">
        <v>20</v>
      </c>
      <c r="AB29" s="605">
        <v>-588</v>
      </c>
      <c r="AC29" s="606">
        <v>-214</v>
      </c>
      <c r="AD29" s="604">
        <v>217</v>
      </c>
      <c r="AE29" s="605"/>
      <c r="AF29" s="605">
        <v>-229</v>
      </c>
      <c r="AG29" s="606">
        <v>-212</v>
      </c>
      <c r="AH29" s="604"/>
      <c r="AI29" s="605"/>
      <c r="AJ29" s="605"/>
      <c r="AK29" s="606"/>
      <c r="AL29" s="604"/>
      <c r="AM29" s="605"/>
      <c r="AN29" s="605"/>
      <c r="AO29" s="606"/>
      <c r="AP29" s="604"/>
      <c r="AQ29" s="605"/>
      <c r="AR29" s="605"/>
      <c r="AS29" s="606"/>
      <c r="AT29" s="604"/>
      <c r="AU29" s="605"/>
      <c r="AV29" s="605"/>
      <c r="AW29" s="606"/>
      <c r="AX29" s="607"/>
      <c r="AY29" s="608"/>
      <c r="AZ29" s="608"/>
      <c r="BA29" s="609"/>
      <c r="BB29" s="604"/>
      <c r="BC29" s="605"/>
      <c r="BD29" s="605"/>
      <c r="BE29" s="606"/>
      <c r="BF29" s="604"/>
      <c r="BG29" s="605"/>
      <c r="BH29" s="605"/>
      <c r="BI29" s="606"/>
      <c r="BJ29" s="604"/>
      <c r="BK29" s="605"/>
      <c r="BL29" s="605"/>
      <c r="BM29" s="606"/>
      <c r="BN29" s="604"/>
      <c r="BO29" s="605"/>
      <c r="BP29" s="605"/>
      <c r="BQ29" s="606"/>
      <c r="BR29" s="604"/>
      <c r="BS29" s="605"/>
      <c r="BT29" s="605"/>
      <c r="BU29" s="606"/>
      <c r="BV29" s="610"/>
      <c r="BW29" s="605"/>
      <c r="BX29" s="605"/>
      <c r="BY29" s="606"/>
      <c r="BZ29" s="611"/>
      <c r="CA29" s="612"/>
      <c r="CB29" s="612"/>
      <c r="CC29" s="613"/>
      <c r="CD29" s="614"/>
      <c r="CE29" s="615"/>
      <c r="CF29" s="615"/>
      <c r="CG29" s="616"/>
      <c r="CH29" s="617"/>
      <c r="CI29" s="618"/>
      <c r="CJ29" s="618"/>
      <c r="CK29" s="619"/>
      <c r="CL29" s="620"/>
      <c r="CM29" s="605"/>
      <c r="CN29" s="605"/>
      <c r="CO29" s="606"/>
      <c r="CP29" s="621">
        <f t="shared" si="2"/>
        <v>-726</v>
      </c>
      <c r="CQ29" s="621">
        <f t="shared" si="2"/>
        <v>-170</v>
      </c>
      <c r="CR29" s="621">
        <f t="shared" si="2"/>
        <v>-2047</v>
      </c>
      <c r="CS29" s="621">
        <f t="shared" si="2"/>
        <v>-1287</v>
      </c>
      <c r="CT29" s="617"/>
      <c r="CU29" s="618"/>
      <c r="CV29" s="618"/>
      <c r="CW29" s="619"/>
      <c r="CX29" s="621">
        <f t="shared" si="3"/>
        <v>-726</v>
      </c>
      <c r="CY29" s="621">
        <f t="shared" si="3"/>
        <v>-170</v>
      </c>
      <c r="CZ29" s="621">
        <f t="shared" si="3"/>
        <v>-2047</v>
      </c>
      <c r="DA29" s="622">
        <f t="shared" si="3"/>
        <v>-1287</v>
      </c>
    </row>
    <row r="30" spans="1:105" x14ac:dyDescent="0.3">
      <c r="A30" s="600" t="s">
        <v>110</v>
      </c>
      <c r="B30" s="601">
        <v>125787</v>
      </c>
      <c r="C30" s="602">
        <v>45865</v>
      </c>
      <c r="D30" s="602">
        <v>297617</v>
      </c>
      <c r="E30" s="603">
        <v>165221</v>
      </c>
      <c r="F30" s="604"/>
      <c r="G30" s="605"/>
      <c r="H30" s="605"/>
      <c r="I30" s="606"/>
      <c r="J30" s="604"/>
      <c r="K30" s="605"/>
      <c r="L30" s="605"/>
      <c r="M30" s="606"/>
      <c r="N30" s="604"/>
      <c r="O30" s="605"/>
      <c r="P30" s="605"/>
      <c r="Q30" s="606"/>
      <c r="R30" s="604"/>
      <c r="S30" s="605"/>
      <c r="T30" s="605"/>
      <c r="U30" s="606"/>
      <c r="V30" s="604"/>
      <c r="W30" s="605"/>
      <c r="X30" s="605"/>
      <c r="Y30" s="606"/>
      <c r="Z30" s="604"/>
      <c r="AA30" s="605"/>
      <c r="AB30" s="605"/>
      <c r="AC30" s="606"/>
      <c r="AD30" s="604"/>
      <c r="AE30" s="605"/>
      <c r="AF30" s="605"/>
      <c r="AG30" s="606"/>
      <c r="AH30" s="604"/>
      <c r="AI30" s="605"/>
      <c r="AJ30" s="605"/>
      <c r="AK30" s="606"/>
      <c r="AL30" s="604"/>
      <c r="AM30" s="605"/>
      <c r="AN30" s="605"/>
      <c r="AO30" s="606"/>
      <c r="AP30" s="604"/>
      <c r="AQ30" s="605"/>
      <c r="AR30" s="605"/>
      <c r="AS30" s="606"/>
      <c r="AT30" s="604"/>
      <c r="AU30" s="605"/>
      <c r="AV30" s="605"/>
      <c r="AW30" s="606"/>
      <c r="AX30" s="607"/>
      <c r="AY30" s="608"/>
      <c r="AZ30" s="608"/>
      <c r="BA30" s="609"/>
      <c r="BB30" s="604"/>
      <c r="BC30" s="605"/>
      <c r="BD30" s="605"/>
      <c r="BE30" s="606"/>
      <c r="BF30" s="604">
        <v>117342</v>
      </c>
      <c r="BG30" s="605">
        <v>226975</v>
      </c>
      <c r="BH30" s="605">
        <v>533813</v>
      </c>
      <c r="BI30" s="606">
        <v>612803</v>
      </c>
      <c r="BJ30" s="604"/>
      <c r="BK30" s="605"/>
      <c r="BL30" s="605"/>
      <c r="BM30" s="606"/>
      <c r="BN30" s="604"/>
      <c r="BO30" s="605"/>
      <c r="BP30" s="605"/>
      <c r="BQ30" s="606"/>
      <c r="BR30" s="604"/>
      <c r="BS30" s="605"/>
      <c r="BT30" s="605"/>
      <c r="BU30" s="606"/>
      <c r="BV30" s="610"/>
      <c r="BW30" s="605"/>
      <c r="BX30" s="605"/>
      <c r="BY30" s="606"/>
      <c r="BZ30" s="611"/>
      <c r="CA30" s="612"/>
      <c r="CB30" s="612"/>
      <c r="CC30" s="613"/>
      <c r="CD30" s="614"/>
      <c r="CE30" s="615"/>
      <c r="CF30" s="615"/>
      <c r="CG30" s="616"/>
      <c r="CH30" s="617"/>
      <c r="CI30" s="618"/>
      <c r="CJ30" s="618"/>
      <c r="CK30" s="619"/>
      <c r="CL30" s="620"/>
      <c r="CM30" s="605"/>
      <c r="CN30" s="605"/>
      <c r="CO30" s="606"/>
      <c r="CP30" s="621">
        <f t="shared" si="2"/>
        <v>243129</v>
      </c>
      <c r="CQ30" s="621">
        <f t="shared" si="2"/>
        <v>272840</v>
      </c>
      <c r="CR30" s="621">
        <f t="shared" si="2"/>
        <v>831430</v>
      </c>
      <c r="CS30" s="621">
        <f t="shared" si="2"/>
        <v>778024</v>
      </c>
      <c r="CT30" s="617"/>
      <c r="CU30" s="618"/>
      <c r="CV30" s="618"/>
      <c r="CW30" s="619"/>
      <c r="CX30" s="621">
        <f t="shared" si="3"/>
        <v>243129</v>
      </c>
      <c r="CY30" s="621">
        <f t="shared" si="3"/>
        <v>272840</v>
      </c>
      <c r="CZ30" s="621">
        <f t="shared" si="3"/>
        <v>831430</v>
      </c>
      <c r="DA30" s="622">
        <f t="shared" si="3"/>
        <v>778024</v>
      </c>
    </row>
    <row r="31" spans="1:105" x14ac:dyDescent="0.3">
      <c r="A31" s="600" t="s">
        <v>111</v>
      </c>
      <c r="B31" s="601"/>
      <c r="C31" s="602"/>
      <c r="D31" s="602"/>
      <c r="E31" s="603"/>
      <c r="F31" s="604">
        <v>11161</v>
      </c>
      <c r="G31" s="605">
        <v>10612</v>
      </c>
      <c r="H31" s="605">
        <v>37970</v>
      </c>
      <c r="I31" s="606">
        <v>41510</v>
      </c>
      <c r="J31" s="604"/>
      <c r="K31" s="605"/>
      <c r="L31" s="605"/>
      <c r="M31" s="606"/>
      <c r="N31" s="604">
        <v>45082</v>
      </c>
      <c r="O31" s="623">
        <v>248242</v>
      </c>
      <c r="P31" s="605">
        <v>28994</v>
      </c>
      <c r="Q31" s="606">
        <v>830066</v>
      </c>
      <c r="R31" s="604"/>
      <c r="S31" s="605"/>
      <c r="T31" s="605"/>
      <c r="U31" s="606"/>
      <c r="V31" s="604"/>
      <c r="W31" s="605"/>
      <c r="X31" s="605"/>
      <c r="Y31" s="606"/>
      <c r="Z31" s="604">
        <v>-61423</v>
      </c>
      <c r="AA31" s="605">
        <v>136617</v>
      </c>
      <c r="AB31" s="605">
        <v>307481</v>
      </c>
      <c r="AC31" s="606">
        <v>551623</v>
      </c>
      <c r="AD31" s="604">
        <v>5783</v>
      </c>
      <c r="AE31" s="605">
        <v>43833</v>
      </c>
      <c r="AF31" s="605">
        <v>178714</v>
      </c>
      <c r="AG31" s="606">
        <v>144014</v>
      </c>
      <c r="AH31" s="604">
        <v>460916</v>
      </c>
      <c r="AI31" s="605">
        <v>427478</v>
      </c>
      <c r="AJ31" s="605">
        <v>1320970</v>
      </c>
      <c r="AK31" s="606">
        <v>1087362</v>
      </c>
      <c r="AL31" s="604"/>
      <c r="AM31" s="605"/>
      <c r="AN31" s="605"/>
      <c r="AO31" s="606"/>
      <c r="AP31" s="604">
        <v>1569174</v>
      </c>
      <c r="AQ31" s="605">
        <v>1046731</v>
      </c>
      <c r="AR31" s="605">
        <v>3770582</v>
      </c>
      <c r="AS31" s="606">
        <v>2595130</v>
      </c>
      <c r="AT31" s="604"/>
      <c r="AU31" s="605"/>
      <c r="AV31" s="605"/>
      <c r="AW31" s="606"/>
      <c r="AX31" s="607">
        <v>90719</v>
      </c>
      <c r="AY31" s="608">
        <v>46314</v>
      </c>
      <c r="AZ31" s="608">
        <v>232655</v>
      </c>
      <c r="BA31" s="609">
        <v>147933</v>
      </c>
      <c r="BB31" s="604"/>
      <c r="BC31" s="605"/>
      <c r="BD31" s="605"/>
      <c r="BE31" s="606"/>
      <c r="BF31" s="604">
        <v>73878</v>
      </c>
      <c r="BG31" s="605"/>
      <c r="BH31" s="605">
        <v>178342</v>
      </c>
      <c r="BI31" s="606"/>
      <c r="BJ31" s="604"/>
      <c r="BK31" s="605"/>
      <c r="BL31" s="605"/>
      <c r="BM31" s="606"/>
      <c r="BN31" s="604">
        <v>143334</v>
      </c>
      <c r="BO31" s="605">
        <v>198622</v>
      </c>
      <c r="BP31" s="605">
        <v>484914</v>
      </c>
      <c r="BQ31" s="606">
        <v>454820</v>
      </c>
      <c r="BR31" s="604">
        <v>87320</v>
      </c>
      <c r="BS31" s="605">
        <v>83024</v>
      </c>
      <c r="BT31" s="605">
        <v>288501</v>
      </c>
      <c r="BU31" s="606">
        <v>253145</v>
      </c>
      <c r="BV31" s="610"/>
      <c r="BW31" s="605"/>
      <c r="BX31" s="605"/>
      <c r="BY31" s="606"/>
      <c r="BZ31" s="611">
        <v>24466</v>
      </c>
      <c r="CA31" s="612">
        <v>201978</v>
      </c>
      <c r="CB31" s="612">
        <v>116455</v>
      </c>
      <c r="CC31" s="613">
        <v>273835</v>
      </c>
      <c r="CD31" s="614"/>
      <c r="CE31" s="615"/>
      <c r="CF31" s="615"/>
      <c r="CG31" s="616"/>
      <c r="CH31" s="617">
        <v>35755</v>
      </c>
      <c r="CI31" s="618">
        <v>16339</v>
      </c>
      <c r="CJ31" s="618">
        <v>97834</v>
      </c>
      <c r="CK31" s="619">
        <v>99704</v>
      </c>
      <c r="CL31" s="620">
        <v>92695</v>
      </c>
      <c r="CM31" s="605">
        <v>-132794</v>
      </c>
      <c r="CN31" s="605">
        <v>268998</v>
      </c>
      <c r="CO31" s="606">
        <v>63573</v>
      </c>
      <c r="CP31" s="621">
        <f t="shared" si="2"/>
        <v>2578860</v>
      </c>
      <c r="CQ31" s="621">
        <f t="shared" si="2"/>
        <v>2326996</v>
      </c>
      <c r="CR31" s="621">
        <f t="shared" si="2"/>
        <v>7312410</v>
      </c>
      <c r="CS31" s="621">
        <f t="shared" si="2"/>
        <v>6542715</v>
      </c>
      <c r="CT31" s="617"/>
      <c r="CU31" s="618"/>
      <c r="CV31" s="618"/>
      <c r="CW31" s="619"/>
      <c r="CX31" s="621">
        <f t="shared" si="3"/>
        <v>2578860</v>
      </c>
      <c r="CY31" s="621">
        <f t="shared" si="3"/>
        <v>2326996</v>
      </c>
      <c r="CZ31" s="621">
        <f t="shared" si="3"/>
        <v>7312410</v>
      </c>
      <c r="DA31" s="622">
        <f t="shared" si="3"/>
        <v>6542715</v>
      </c>
    </row>
    <row r="32" spans="1:105" x14ac:dyDescent="0.3">
      <c r="A32" s="600" t="s">
        <v>112</v>
      </c>
      <c r="B32" s="601"/>
      <c r="C32" s="602"/>
      <c r="D32" s="602"/>
      <c r="E32" s="603"/>
      <c r="F32" s="604">
        <v>19664</v>
      </c>
      <c r="G32" s="605">
        <v>30068</v>
      </c>
      <c r="H32" s="605">
        <v>64459</v>
      </c>
      <c r="I32" s="606">
        <v>62956</v>
      </c>
      <c r="J32" s="604"/>
      <c r="K32" s="605"/>
      <c r="L32" s="605"/>
      <c r="M32" s="606"/>
      <c r="N32" s="604"/>
      <c r="O32" s="605"/>
      <c r="P32" s="605"/>
      <c r="Q32" s="606"/>
      <c r="R32" s="604"/>
      <c r="S32" s="605"/>
      <c r="T32" s="605"/>
      <c r="U32" s="606"/>
      <c r="V32" s="604"/>
      <c r="W32" s="605"/>
      <c r="X32" s="605"/>
      <c r="Y32" s="606"/>
      <c r="Z32" s="604"/>
      <c r="AA32" s="605"/>
      <c r="AB32" s="605"/>
      <c r="AC32" s="606"/>
      <c r="AD32" s="604">
        <v>39458</v>
      </c>
      <c r="AE32" s="605">
        <v>16102</v>
      </c>
      <c r="AF32" s="605">
        <v>106560</v>
      </c>
      <c r="AG32" s="606">
        <v>37635</v>
      </c>
      <c r="AH32" s="604"/>
      <c r="AI32" s="605"/>
      <c r="AJ32" s="605"/>
      <c r="AK32" s="606"/>
      <c r="AL32" s="604"/>
      <c r="AM32" s="605"/>
      <c r="AN32" s="605"/>
      <c r="AO32" s="606"/>
      <c r="AP32" s="604"/>
      <c r="AQ32" s="605"/>
      <c r="AR32" s="605"/>
      <c r="AS32" s="606"/>
      <c r="AT32" s="604">
        <v>248453</v>
      </c>
      <c r="AU32" s="605">
        <v>590359</v>
      </c>
      <c r="AV32" s="605">
        <v>1296522</v>
      </c>
      <c r="AW32" s="606">
        <v>1157262</v>
      </c>
      <c r="AX32" s="607"/>
      <c r="AY32" s="608"/>
      <c r="AZ32" s="608"/>
      <c r="BA32" s="609"/>
      <c r="BB32" s="604"/>
      <c r="BC32" s="605"/>
      <c r="BD32" s="605"/>
      <c r="BE32" s="606"/>
      <c r="BF32" s="604"/>
      <c r="BG32" s="605"/>
      <c r="BH32" s="605"/>
      <c r="BI32" s="606"/>
      <c r="BJ32" s="604"/>
      <c r="BK32" s="605"/>
      <c r="BL32" s="605"/>
      <c r="BM32" s="606"/>
      <c r="BN32" s="604"/>
      <c r="BO32" s="605"/>
      <c r="BP32" s="605"/>
      <c r="BQ32" s="606"/>
      <c r="BR32" s="604">
        <v>45994</v>
      </c>
      <c r="BS32" s="605">
        <v>70830</v>
      </c>
      <c r="BT32" s="605">
        <v>175121</v>
      </c>
      <c r="BU32" s="606">
        <v>211051</v>
      </c>
      <c r="BV32" s="610"/>
      <c r="BW32" s="605"/>
      <c r="BX32" s="605"/>
      <c r="BY32" s="606"/>
      <c r="BZ32" s="611"/>
      <c r="CA32" s="612"/>
      <c r="CB32" s="612"/>
      <c r="CC32" s="613"/>
      <c r="CD32" s="614"/>
      <c r="CE32" s="615"/>
      <c r="CF32" s="615"/>
      <c r="CG32" s="616"/>
      <c r="CH32" s="617"/>
      <c r="CI32" s="618"/>
      <c r="CJ32" s="618"/>
      <c r="CK32" s="619"/>
      <c r="CL32" s="620"/>
      <c r="CM32" s="605"/>
      <c r="CN32" s="605"/>
      <c r="CO32" s="606"/>
      <c r="CP32" s="621">
        <f t="shared" si="2"/>
        <v>353569</v>
      </c>
      <c r="CQ32" s="621">
        <f t="shared" si="2"/>
        <v>707359</v>
      </c>
      <c r="CR32" s="621">
        <f t="shared" si="2"/>
        <v>1642662</v>
      </c>
      <c r="CS32" s="621">
        <f t="shared" si="2"/>
        <v>1468904</v>
      </c>
      <c r="CT32" s="617"/>
      <c r="CU32" s="618"/>
      <c r="CV32" s="618"/>
      <c r="CW32" s="619"/>
      <c r="CX32" s="621">
        <f t="shared" si="3"/>
        <v>353569</v>
      </c>
      <c r="CY32" s="621">
        <f t="shared" si="3"/>
        <v>707359</v>
      </c>
      <c r="CZ32" s="621">
        <f t="shared" si="3"/>
        <v>1642662</v>
      </c>
      <c r="DA32" s="622">
        <f t="shared" si="3"/>
        <v>1468904</v>
      </c>
    </row>
    <row r="33" spans="1:105" x14ac:dyDescent="0.3">
      <c r="A33" s="600" t="s">
        <v>113</v>
      </c>
      <c r="B33" s="601"/>
      <c r="C33" s="602"/>
      <c r="D33" s="602"/>
      <c r="E33" s="603"/>
      <c r="F33" s="604">
        <v>5143</v>
      </c>
      <c r="G33" s="605">
        <v>4628</v>
      </c>
      <c r="H33" s="605">
        <v>15577</v>
      </c>
      <c r="I33" s="606">
        <v>17209</v>
      </c>
      <c r="J33" s="604"/>
      <c r="K33" s="605"/>
      <c r="L33" s="605"/>
      <c r="M33" s="606"/>
      <c r="N33" s="604">
        <v>55584</v>
      </c>
      <c r="O33" s="605">
        <v>51775</v>
      </c>
      <c r="P33" s="605">
        <v>162883</v>
      </c>
      <c r="Q33" s="606">
        <v>152470</v>
      </c>
      <c r="R33" s="604">
        <v>25831</v>
      </c>
      <c r="S33" s="605">
        <v>18602</v>
      </c>
      <c r="T33" s="605">
        <v>76521</v>
      </c>
      <c r="U33" s="606">
        <v>62188</v>
      </c>
      <c r="V33" s="604"/>
      <c r="W33" s="605"/>
      <c r="X33" s="605"/>
      <c r="Y33" s="606"/>
      <c r="Z33" s="604"/>
      <c r="AA33" s="605"/>
      <c r="AB33" s="605"/>
      <c r="AC33" s="606"/>
      <c r="AD33" s="604"/>
      <c r="AE33" s="605"/>
      <c r="AF33" s="605"/>
      <c r="AG33" s="606"/>
      <c r="AH33" s="604"/>
      <c r="AI33" s="605"/>
      <c r="AJ33" s="605"/>
      <c r="AK33" s="606"/>
      <c r="AL33" s="604"/>
      <c r="AM33" s="605"/>
      <c r="AN33" s="605"/>
      <c r="AO33" s="606"/>
      <c r="AP33" s="604">
        <v>178812</v>
      </c>
      <c r="AQ33" s="605">
        <v>173106</v>
      </c>
      <c r="AR33" s="605">
        <v>362686</v>
      </c>
      <c r="AS33" s="606">
        <v>508804</v>
      </c>
      <c r="AT33" s="604">
        <v>61700</v>
      </c>
      <c r="AU33" s="605">
        <v>58667</v>
      </c>
      <c r="AV33" s="605">
        <v>190705</v>
      </c>
      <c r="AW33" s="606">
        <v>190275</v>
      </c>
      <c r="AX33" s="607">
        <v>8926</v>
      </c>
      <c r="AY33" s="608">
        <v>9213</v>
      </c>
      <c r="AZ33" s="608">
        <v>24593</v>
      </c>
      <c r="BA33" s="609">
        <v>24664</v>
      </c>
      <c r="BB33" s="604">
        <v>6456</v>
      </c>
      <c r="BC33" s="605">
        <v>5236</v>
      </c>
      <c r="BD33" s="605">
        <v>21616</v>
      </c>
      <c r="BE33" s="606">
        <v>16883</v>
      </c>
      <c r="BF33" s="604"/>
      <c r="BG33" s="605"/>
      <c r="BH33" s="605"/>
      <c r="BI33" s="606"/>
      <c r="BJ33" s="604">
        <f>2131+17798</f>
        <v>19929</v>
      </c>
      <c r="BK33" s="605">
        <f>4566+18886</f>
        <v>23452</v>
      </c>
      <c r="BL33" s="605">
        <f>8410+64854</f>
        <v>73264</v>
      </c>
      <c r="BM33" s="606">
        <f>12177+51805</f>
        <v>63982</v>
      </c>
      <c r="BN33" s="604">
        <v>25624</v>
      </c>
      <c r="BO33" s="605">
        <v>31692</v>
      </c>
      <c r="BP33" s="605">
        <v>93374</v>
      </c>
      <c r="BQ33" s="606">
        <v>95377</v>
      </c>
      <c r="BR33" s="604">
        <f>67131+22809</f>
        <v>89940</v>
      </c>
      <c r="BS33" s="605">
        <f>96796+27933</f>
        <v>124729</v>
      </c>
      <c r="BT33" s="605">
        <f>225074+69634</f>
        <v>294708</v>
      </c>
      <c r="BU33" s="606">
        <f>295029+89469</f>
        <v>384498</v>
      </c>
      <c r="BV33" s="610"/>
      <c r="BW33" s="605"/>
      <c r="BX33" s="605"/>
      <c r="BY33" s="606"/>
      <c r="BZ33" s="611"/>
      <c r="CA33" s="612"/>
      <c r="CB33" s="612"/>
      <c r="CC33" s="613"/>
      <c r="CD33" s="614"/>
      <c r="CE33" s="615"/>
      <c r="CF33" s="615"/>
      <c r="CG33" s="616"/>
      <c r="CH33" s="617"/>
      <c r="CI33" s="618"/>
      <c r="CJ33" s="618"/>
      <c r="CK33" s="619"/>
      <c r="CL33" s="620">
        <v>36291</v>
      </c>
      <c r="CM33" s="605">
        <v>38622</v>
      </c>
      <c r="CN33" s="605">
        <v>114921</v>
      </c>
      <c r="CO33" s="623">
        <v>118444</v>
      </c>
      <c r="CP33" s="621">
        <f t="shared" si="2"/>
        <v>514236</v>
      </c>
      <c r="CQ33" s="621">
        <f t="shared" si="2"/>
        <v>539722</v>
      </c>
      <c r="CR33" s="621">
        <f t="shared" si="2"/>
        <v>1430848</v>
      </c>
      <c r="CS33" s="621">
        <f t="shared" si="2"/>
        <v>1634794</v>
      </c>
      <c r="CT33" s="617"/>
      <c r="CU33" s="618"/>
      <c r="CV33" s="618"/>
      <c r="CW33" s="619"/>
      <c r="CX33" s="621">
        <f t="shared" si="3"/>
        <v>514236</v>
      </c>
      <c r="CY33" s="621">
        <f t="shared" si="3"/>
        <v>539722</v>
      </c>
      <c r="CZ33" s="621">
        <f t="shared" si="3"/>
        <v>1430848</v>
      </c>
      <c r="DA33" s="622">
        <f t="shared" si="3"/>
        <v>1634794</v>
      </c>
    </row>
    <row r="34" spans="1:105" x14ac:dyDescent="0.3">
      <c r="A34" s="600" t="s">
        <v>114</v>
      </c>
      <c r="B34" s="601">
        <v>35586</v>
      </c>
      <c r="C34" s="602">
        <v>34797</v>
      </c>
      <c r="D34" s="602">
        <v>106445</v>
      </c>
      <c r="E34" s="603">
        <v>106112</v>
      </c>
      <c r="F34" s="604">
        <v>3709</v>
      </c>
      <c r="G34" s="605">
        <v>5064</v>
      </c>
      <c r="H34" s="605">
        <v>12973</v>
      </c>
      <c r="I34" s="606">
        <v>13693</v>
      </c>
      <c r="J34" s="604">
        <v>10746</v>
      </c>
      <c r="K34" s="605">
        <v>13867</v>
      </c>
      <c r="L34" s="605">
        <v>38559</v>
      </c>
      <c r="M34" s="606">
        <v>41823</v>
      </c>
      <c r="N34" s="604">
        <v>36896</v>
      </c>
      <c r="O34" s="605">
        <v>29132</v>
      </c>
      <c r="P34" s="605">
        <v>109157</v>
      </c>
      <c r="Q34" s="606">
        <v>103103</v>
      </c>
      <c r="R34" s="604">
        <v>7375</v>
      </c>
      <c r="S34" s="605">
        <v>10966</v>
      </c>
      <c r="T34" s="605">
        <v>31312</v>
      </c>
      <c r="U34" s="606">
        <v>33910</v>
      </c>
      <c r="V34" s="604"/>
      <c r="W34" s="605"/>
      <c r="X34" s="605"/>
      <c r="Y34" s="606"/>
      <c r="Z34" s="604">
        <v>4822</v>
      </c>
      <c r="AA34" s="605">
        <v>6871</v>
      </c>
      <c r="AB34" s="605">
        <v>22577</v>
      </c>
      <c r="AC34" s="606">
        <v>24167</v>
      </c>
      <c r="AD34" s="604"/>
      <c r="AE34" s="605"/>
      <c r="AF34" s="605"/>
      <c r="AG34" s="606"/>
      <c r="AH34" s="604">
        <v>23541</v>
      </c>
      <c r="AI34" s="605">
        <v>20531</v>
      </c>
      <c r="AJ34" s="605">
        <v>61434</v>
      </c>
      <c r="AK34" s="606">
        <v>63994</v>
      </c>
      <c r="AL34" s="604"/>
      <c r="AM34" s="605"/>
      <c r="AN34" s="605"/>
      <c r="AO34" s="606"/>
      <c r="AP34" s="604"/>
      <c r="AQ34" s="605"/>
      <c r="AR34" s="605"/>
      <c r="AS34" s="606"/>
      <c r="AT34" s="604"/>
      <c r="AU34" s="605"/>
      <c r="AV34" s="605"/>
      <c r="AW34" s="606"/>
      <c r="AX34" s="607">
        <v>5401</v>
      </c>
      <c r="AY34" s="608">
        <v>5173</v>
      </c>
      <c r="AZ34" s="608">
        <v>19661</v>
      </c>
      <c r="BA34" s="609">
        <v>19114</v>
      </c>
      <c r="BB34" s="604"/>
      <c r="BC34" s="605"/>
      <c r="BD34" s="605"/>
      <c r="BE34" s="606"/>
      <c r="BF34" s="604">
        <v>26287</v>
      </c>
      <c r="BG34" s="605">
        <v>24786</v>
      </c>
      <c r="BH34" s="605">
        <v>77210</v>
      </c>
      <c r="BI34" s="606">
        <v>81469</v>
      </c>
      <c r="BJ34" s="604">
        <v>79399</v>
      </c>
      <c r="BK34" s="605">
        <v>67163</v>
      </c>
      <c r="BL34" s="605">
        <v>218720</v>
      </c>
      <c r="BM34" s="606">
        <v>198452</v>
      </c>
      <c r="BN34" s="604"/>
      <c r="BO34" s="605"/>
      <c r="BP34" s="605"/>
      <c r="BQ34" s="606"/>
      <c r="BR34" s="604"/>
      <c r="BS34" s="605"/>
      <c r="BT34" s="605"/>
      <c r="BU34" s="606"/>
      <c r="BV34" s="610"/>
      <c r="BW34" s="605"/>
      <c r="BX34" s="605"/>
      <c r="BY34" s="606"/>
      <c r="BZ34" s="611"/>
      <c r="CA34" s="612"/>
      <c r="CB34" s="612"/>
      <c r="CC34" s="613"/>
      <c r="CD34" s="614"/>
      <c r="CE34" s="615"/>
      <c r="CF34" s="615"/>
      <c r="CG34" s="616"/>
      <c r="CH34" s="617"/>
      <c r="CI34" s="618"/>
      <c r="CJ34" s="618"/>
      <c r="CK34" s="619"/>
      <c r="CL34" s="620"/>
      <c r="CM34" s="605"/>
      <c r="CN34" s="605"/>
      <c r="CO34" s="606"/>
      <c r="CP34" s="621">
        <f t="shared" si="2"/>
        <v>233762</v>
      </c>
      <c r="CQ34" s="621">
        <f t="shared" si="2"/>
        <v>218350</v>
      </c>
      <c r="CR34" s="621">
        <f t="shared" si="2"/>
        <v>698048</v>
      </c>
      <c r="CS34" s="621">
        <f t="shared" si="2"/>
        <v>685837</v>
      </c>
      <c r="CT34" s="617">
        <v>614368</v>
      </c>
      <c r="CU34" s="618">
        <v>584669</v>
      </c>
      <c r="CV34" s="618">
        <v>1910794</v>
      </c>
      <c r="CW34" s="619">
        <v>1870391</v>
      </c>
      <c r="CX34" s="621">
        <f t="shared" si="3"/>
        <v>848130</v>
      </c>
      <c r="CY34" s="621">
        <f t="shared" si="3"/>
        <v>803019</v>
      </c>
      <c r="CZ34" s="621">
        <f t="shared" si="3"/>
        <v>2608842</v>
      </c>
      <c r="DA34" s="622">
        <f t="shared" si="3"/>
        <v>2556228</v>
      </c>
    </row>
    <row r="35" spans="1:105" x14ac:dyDescent="0.3">
      <c r="A35" s="600" t="s">
        <v>115</v>
      </c>
      <c r="B35" s="601">
        <v>34109</v>
      </c>
      <c r="C35" s="602">
        <v>22202</v>
      </c>
      <c r="D35" s="602">
        <v>142630</v>
      </c>
      <c r="E35" s="603">
        <v>63062</v>
      </c>
      <c r="F35" s="604">
        <v>4058</v>
      </c>
      <c r="G35" s="605">
        <v>8687</v>
      </c>
      <c r="H35" s="605">
        <v>16723</v>
      </c>
      <c r="I35" s="606">
        <v>16667</v>
      </c>
      <c r="J35" s="604">
        <v>3472</v>
      </c>
      <c r="K35" s="605">
        <v>12370</v>
      </c>
      <c r="L35" s="605">
        <v>10884</v>
      </c>
      <c r="M35" s="606">
        <v>27185</v>
      </c>
      <c r="N35" s="604"/>
      <c r="O35" s="605"/>
      <c r="P35" s="605"/>
      <c r="Q35" s="606"/>
      <c r="R35" s="604"/>
      <c r="S35" s="605"/>
      <c r="T35" s="605"/>
      <c r="U35" s="606"/>
      <c r="V35" s="604"/>
      <c r="W35" s="605"/>
      <c r="X35" s="605"/>
      <c r="Y35" s="606"/>
      <c r="Z35" s="604"/>
      <c r="AA35" s="605"/>
      <c r="AB35" s="605"/>
      <c r="AC35" s="606"/>
      <c r="AD35" s="604"/>
      <c r="AE35" s="605"/>
      <c r="AF35" s="605"/>
      <c r="AG35" s="606"/>
      <c r="AH35" s="604"/>
      <c r="AI35" s="605"/>
      <c r="AJ35" s="605"/>
      <c r="AK35" s="606"/>
      <c r="AL35" s="604"/>
      <c r="AM35" s="605"/>
      <c r="AN35" s="605"/>
      <c r="AO35" s="606"/>
      <c r="AP35" s="604"/>
      <c r="AQ35" s="605"/>
      <c r="AR35" s="605"/>
      <c r="AS35" s="606"/>
      <c r="AT35" s="604"/>
      <c r="AU35" s="605"/>
      <c r="AV35" s="605"/>
      <c r="AW35" s="606"/>
      <c r="AX35" s="607"/>
      <c r="AY35" s="608"/>
      <c r="AZ35" s="608"/>
      <c r="BA35" s="609"/>
      <c r="BB35" s="604"/>
      <c r="BC35" s="605"/>
      <c r="BD35" s="605"/>
      <c r="BE35" s="606"/>
      <c r="BF35" s="604">
        <v>11132</v>
      </c>
      <c r="BG35" s="605">
        <v>12561</v>
      </c>
      <c r="BH35" s="605">
        <v>44650</v>
      </c>
      <c r="BI35" s="606">
        <v>45211</v>
      </c>
      <c r="BJ35" s="604"/>
      <c r="BK35" s="605"/>
      <c r="BL35" s="605"/>
      <c r="BM35" s="606"/>
      <c r="BN35" s="604">
        <v>10863</v>
      </c>
      <c r="BO35" s="605">
        <v>7524</v>
      </c>
      <c r="BP35" s="605">
        <v>44612</v>
      </c>
      <c r="BQ35" s="606">
        <v>60783</v>
      </c>
      <c r="BR35" s="604"/>
      <c r="BS35" s="605"/>
      <c r="BT35" s="605"/>
      <c r="BU35" s="606"/>
      <c r="BV35" s="610"/>
      <c r="BW35" s="605"/>
      <c r="BX35" s="605"/>
      <c r="BY35" s="606"/>
      <c r="BZ35" s="611"/>
      <c r="CA35" s="612"/>
      <c r="CB35" s="612"/>
      <c r="CC35" s="613"/>
      <c r="CD35" s="614"/>
      <c r="CE35" s="615"/>
      <c r="CF35" s="615"/>
      <c r="CG35" s="616"/>
      <c r="CH35" s="617"/>
      <c r="CI35" s="618"/>
      <c r="CJ35" s="618"/>
      <c r="CK35" s="619"/>
      <c r="CL35" s="623"/>
      <c r="CM35" s="623"/>
      <c r="CN35" s="623"/>
      <c r="CO35" s="623"/>
      <c r="CP35" s="621">
        <f t="shared" si="2"/>
        <v>63634</v>
      </c>
      <c r="CQ35" s="621">
        <f t="shared" si="2"/>
        <v>63344</v>
      </c>
      <c r="CR35" s="621">
        <f t="shared" si="2"/>
        <v>259499</v>
      </c>
      <c r="CS35" s="621">
        <f t="shared" si="2"/>
        <v>212908</v>
      </c>
      <c r="CT35" s="617"/>
      <c r="CU35" s="618"/>
      <c r="CV35" s="618"/>
      <c r="CW35" s="619"/>
      <c r="CX35" s="621">
        <f t="shared" si="3"/>
        <v>63634</v>
      </c>
      <c r="CY35" s="621">
        <f t="shared" si="3"/>
        <v>63344</v>
      </c>
      <c r="CZ35" s="621">
        <f t="shared" si="3"/>
        <v>259499</v>
      </c>
      <c r="DA35" s="622">
        <f t="shared" si="3"/>
        <v>212908</v>
      </c>
    </row>
    <row r="36" spans="1:105" ht="17.25" x14ac:dyDescent="0.35">
      <c r="A36" s="600" t="s">
        <v>116</v>
      </c>
      <c r="B36" s="621">
        <v>17113</v>
      </c>
      <c r="C36" s="624">
        <v>16395</v>
      </c>
      <c r="D36" s="624">
        <v>48637</v>
      </c>
      <c r="E36" s="625">
        <v>44813</v>
      </c>
      <c r="F36" s="626">
        <v>926</v>
      </c>
      <c r="G36" s="627">
        <v>4568</v>
      </c>
      <c r="H36" s="627">
        <v>6343</v>
      </c>
      <c r="I36" s="628">
        <v>10276</v>
      </c>
      <c r="J36" s="626">
        <v>6105</v>
      </c>
      <c r="K36" s="627">
        <v>7095</v>
      </c>
      <c r="L36" s="627">
        <v>11511</v>
      </c>
      <c r="M36" s="628">
        <v>14701</v>
      </c>
      <c r="N36" s="626">
        <v>5238</v>
      </c>
      <c r="O36" s="605">
        <v>36372</v>
      </c>
      <c r="P36" s="627">
        <v>82038</v>
      </c>
      <c r="Q36" s="628">
        <v>103343</v>
      </c>
      <c r="R36" s="626">
        <v>18877</v>
      </c>
      <c r="S36" s="627">
        <v>16788</v>
      </c>
      <c r="T36" s="627">
        <v>48316</v>
      </c>
      <c r="U36" s="628">
        <v>45798</v>
      </c>
      <c r="V36" s="626">
        <v>41309</v>
      </c>
      <c r="W36" s="627">
        <v>41319</v>
      </c>
      <c r="X36" s="627">
        <v>117910</v>
      </c>
      <c r="Y36" s="628">
        <v>109977</v>
      </c>
      <c r="Z36" s="626">
        <v>7321</v>
      </c>
      <c r="AA36" s="627">
        <v>71376</v>
      </c>
      <c r="AB36" s="627">
        <v>143011</v>
      </c>
      <c r="AC36" s="628">
        <v>128303</v>
      </c>
      <c r="AD36" s="626">
        <v>8719</v>
      </c>
      <c r="AE36" s="627">
        <v>6075</v>
      </c>
      <c r="AF36" s="627">
        <v>22727</v>
      </c>
      <c r="AG36" s="628">
        <v>23874</v>
      </c>
      <c r="AH36" s="626">
        <v>9054</v>
      </c>
      <c r="AI36" s="627">
        <v>6192</v>
      </c>
      <c r="AJ36" s="627">
        <v>28648</v>
      </c>
      <c r="AK36" s="628">
        <v>19574</v>
      </c>
      <c r="AL36" s="626">
        <v>4406</v>
      </c>
      <c r="AM36" s="627">
        <f>2102-232</f>
        <v>1870</v>
      </c>
      <c r="AN36" s="627">
        <f>8005+7848</f>
        <v>15853</v>
      </c>
      <c r="AO36" s="628">
        <f>6046+5368</f>
        <v>11414</v>
      </c>
      <c r="AP36" s="626">
        <v>11514</v>
      </c>
      <c r="AQ36" s="627">
        <v>11830</v>
      </c>
      <c r="AR36" s="627">
        <v>34543</v>
      </c>
      <c r="AS36" s="628">
        <v>34543</v>
      </c>
      <c r="AT36" s="626">
        <f>63517+20450</f>
        <v>83967</v>
      </c>
      <c r="AU36" s="627">
        <f>48562+35628</f>
        <v>84190</v>
      </c>
      <c r="AV36" s="627">
        <f>194744+100836</f>
        <v>295580</v>
      </c>
      <c r="AW36" s="628">
        <f>142526+112392</f>
        <v>254918</v>
      </c>
      <c r="AX36" s="607">
        <f>11929+5267</f>
        <v>17196</v>
      </c>
      <c r="AY36" s="608">
        <f>6659+1+3572</f>
        <v>10232</v>
      </c>
      <c r="AZ36" s="608">
        <f>27267+11448</f>
        <v>38715</v>
      </c>
      <c r="BA36" s="609">
        <f>16836+3360+5112</f>
        <v>25308</v>
      </c>
      <c r="BB36" s="626"/>
      <c r="BC36" s="627"/>
      <c r="BD36" s="627"/>
      <c r="BE36" s="628"/>
      <c r="BF36" s="629">
        <f>101904+2158</f>
        <v>104062</v>
      </c>
      <c r="BG36" s="630">
        <f>96494+3927</f>
        <v>100421</v>
      </c>
      <c r="BH36" s="630">
        <f>336672+5377</f>
        <v>342049</v>
      </c>
      <c r="BI36" s="631">
        <f>296292+9061</f>
        <v>305353</v>
      </c>
      <c r="BJ36" s="626">
        <f>10467-170</f>
        <v>10297</v>
      </c>
      <c r="BK36" s="627">
        <f>100+26114</f>
        <v>26214</v>
      </c>
      <c r="BL36" s="627">
        <f>25423-28</f>
        <v>25395</v>
      </c>
      <c r="BM36" s="628">
        <f>772+59371</f>
        <v>60143</v>
      </c>
      <c r="BN36" s="626">
        <v>1228</v>
      </c>
      <c r="BO36" s="627">
        <v>4111</v>
      </c>
      <c r="BP36" s="627">
        <v>1682</v>
      </c>
      <c r="BQ36" s="628">
        <v>13119</v>
      </c>
      <c r="BR36" s="626">
        <v>6990</v>
      </c>
      <c r="BS36" s="627">
        <v>12499</v>
      </c>
      <c r="BT36" s="627">
        <v>44023</v>
      </c>
      <c r="BU36" s="628">
        <v>25549</v>
      </c>
      <c r="BV36" s="610"/>
      <c r="BW36" s="605"/>
      <c r="BX36" s="605"/>
      <c r="BY36" s="606"/>
      <c r="BZ36" s="611">
        <v>198067</v>
      </c>
      <c r="CA36" s="612">
        <v>166377</v>
      </c>
      <c r="CB36" s="612">
        <v>603073</v>
      </c>
      <c r="CC36" s="613">
        <v>479337</v>
      </c>
      <c r="CD36" s="614">
        <v>125606</v>
      </c>
      <c r="CE36" s="615">
        <v>128266</v>
      </c>
      <c r="CF36" s="615">
        <v>421704</v>
      </c>
      <c r="CG36" s="616">
        <v>362580</v>
      </c>
      <c r="CH36" s="617">
        <v>4009</v>
      </c>
      <c r="CI36" s="618">
        <v>4570</v>
      </c>
      <c r="CJ36" s="618">
        <v>19255</v>
      </c>
      <c r="CK36" s="619">
        <v>18499</v>
      </c>
      <c r="CL36" s="632">
        <f>395+1200</f>
        <v>1595</v>
      </c>
      <c r="CM36" s="627">
        <f>1699+850</f>
        <v>2549</v>
      </c>
      <c r="CN36" s="627">
        <f>3143+5000</f>
        <v>8143</v>
      </c>
      <c r="CO36" s="606">
        <f>3399+5220</f>
        <v>8619</v>
      </c>
      <c r="CP36" s="621">
        <f t="shared" si="2"/>
        <v>683599</v>
      </c>
      <c r="CQ36" s="621">
        <f t="shared" si="2"/>
        <v>759309</v>
      </c>
      <c r="CR36" s="621">
        <f t="shared" si="2"/>
        <v>2359156</v>
      </c>
      <c r="CS36" s="621">
        <f t="shared" si="2"/>
        <v>2100041</v>
      </c>
      <c r="CT36" s="632">
        <f>7405613+148163+10148+3013+1113305</f>
        <v>8680242</v>
      </c>
      <c r="CU36" s="627">
        <f>6022406+660371+15437+4089+1003651</f>
        <v>7705954</v>
      </c>
      <c r="CV36" s="627">
        <f>19302173+1017096+99896+22268+3070493</f>
        <v>23511926</v>
      </c>
      <c r="CW36" s="628">
        <f>13537931+964054+94434+24767+3022962</f>
        <v>17644148</v>
      </c>
      <c r="CX36" s="621">
        <f t="shared" si="3"/>
        <v>9363841</v>
      </c>
      <c r="CY36" s="621">
        <f t="shared" si="3"/>
        <v>8465263</v>
      </c>
      <c r="CZ36" s="621">
        <f t="shared" si="3"/>
        <v>25871082</v>
      </c>
      <c r="DA36" s="622">
        <f t="shared" si="3"/>
        <v>19744189</v>
      </c>
    </row>
    <row r="37" spans="1:105" ht="17.25" x14ac:dyDescent="0.35">
      <c r="A37" s="637" t="s">
        <v>117</v>
      </c>
      <c r="B37" s="638">
        <v>75145</v>
      </c>
      <c r="C37" s="639">
        <v>54595</v>
      </c>
      <c r="D37" s="639">
        <v>198440</v>
      </c>
      <c r="E37" s="640">
        <v>154567</v>
      </c>
      <c r="F37" s="641"/>
      <c r="G37" s="642"/>
      <c r="H37" s="642"/>
      <c r="I37" s="643"/>
      <c r="J37" s="641"/>
      <c r="K37" s="642"/>
      <c r="L37" s="642"/>
      <c r="M37" s="643"/>
      <c r="N37" s="641"/>
      <c r="O37" s="642"/>
      <c r="P37" s="642"/>
      <c r="Q37" s="643"/>
      <c r="R37" s="641"/>
      <c r="S37" s="642"/>
      <c r="T37" s="642"/>
      <c r="U37" s="643"/>
      <c r="V37" s="641"/>
      <c r="W37" s="642"/>
      <c r="X37" s="642"/>
      <c r="Y37" s="643"/>
      <c r="Z37" s="641"/>
      <c r="AA37" s="642"/>
      <c r="AB37" s="642"/>
      <c r="AC37" s="643"/>
      <c r="AD37" s="641"/>
      <c r="AE37" s="642"/>
      <c r="AF37" s="642"/>
      <c r="AG37" s="643"/>
      <c r="AH37" s="641"/>
      <c r="AI37" s="642"/>
      <c r="AJ37" s="642"/>
      <c r="AK37" s="643"/>
      <c r="AL37" s="641">
        <v>14494</v>
      </c>
      <c r="AM37" s="642">
        <v>16700</v>
      </c>
      <c r="AN37" s="642">
        <v>46892</v>
      </c>
      <c r="AO37" s="643">
        <v>50963</v>
      </c>
      <c r="AP37" s="641"/>
      <c r="AQ37" s="642"/>
      <c r="AR37" s="642"/>
      <c r="AS37" s="643"/>
      <c r="AT37" s="641"/>
      <c r="AU37" s="642"/>
      <c r="AV37" s="642"/>
      <c r="AW37" s="643"/>
      <c r="AX37" s="644"/>
      <c r="AY37" s="645"/>
      <c r="AZ37" s="645"/>
      <c r="BA37" s="646"/>
      <c r="BB37" s="641">
        <v>15129</v>
      </c>
      <c r="BC37" s="642">
        <v>13009</v>
      </c>
      <c r="BD37" s="642">
        <v>46235</v>
      </c>
      <c r="BE37" s="643">
        <v>39047</v>
      </c>
      <c r="BF37" s="647"/>
      <c r="BG37" s="648"/>
      <c r="BH37" s="648"/>
      <c r="BI37" s="649"/>
      <c r="BJ37" s="641"/>
      <c r="BK37" s="642"/>
      <c r="BL37" s="642"/>
      <c r="BM37" s="643"/>
      <c r="BN37" s="641"/>
      <c r="BO37" s="642"/>
      <c r="BP37" s="642"/>
      <c r="BQ37" s="643"/>
      <c r="BR37" s="641"/>
      <c r="BS37" s="642"/>
      <c r="BT37" s="642"/>
      <c r="BU37" s="643"/>
      <c r="BV37" s="650"/>
      <c r="BW37" s="651"/>
      <c r="BX37" s="651"/>
      <c r="BY37" s="652"/>
      <c r="BZ37" s="653"/>
      <c r="CA37" s="654"/>
      <c r="CB37" s="654"/>
      <c r="CC37" s="655"/>
      <c r="CD37" s="656"/>
      <c r="CE37" s="657"/>
      <c r="CF37" s="657"/>
      <c r="CG37" s="658"/>
      <c r="CH37" s="659"/>
      <c r="CI37" s="660"/>
      <c r="CJ37" s="660"/>
      <c r="CK37" s="661"/>
      <c r="CL37" s="662"/>
      <c r="CM37" s="642"/>
      <c r="CN37" s="642"/>
      <c r="CO37" s="643"/>
      <c r="CP37" s="621">
        <f t="shared" si="2"/>
        <v>104768</v>
      </c>
      <c r="CQ37" s="621">
        <f t="shared" si="2"/>
        <v>84304</v>
      </c>
      <c r="CR37" s="621">
        <f t="shared" si="2"/>
        <v>291567</v>
      </c>
      <c r="CS37" s="621">
        <f t="shared" si="2"/>
        <v>244577</v>
      </c>
      <c r="CT37" s="662"/>
      <c r="CU37" s="642"/>
      <c r="CV37" s="642"/>
      <c r="CW37" s="643"/>
      <c r="CX37" s="621">
        <f t="shared" si="3"/>
        <v>104768</v>
      </c>
      <c r="CY37" s="621">
        <f t="shared" si="3"/>
        <v>84304</v>
      </c>
      <c r="CZ37" s="621">
        <f t="shared" si="3"/>
        <v>291567</v>
      </c>
      <c r="DA37" s="622">
        <f t="shared" si="3"/>
        <v>244577</v>
      </c>
    </row>
    <row r="38" spans="1:105" ht="17.25" thickBot="1" x14ac:dyDescent="0.35">
      <c r="A38" s="663" t="s">
        <v>118</v>
      </c>
      <c r="B38" s="664"/>
      <c r="C38" s="665"/>
      <c r="D38" s="665"/>
      <c r="E38" s="666"/>
      <c r="F38" s="667">
        <v>-303409</v>
      </c>
      <c r="G38" s="651">
        <v>-194385</v>
      </c>
      <c r="H38" s="651">
        <v>-828142</v>
      </c>
      <c r="I38" s="652">
        <v>-579709</v>
      </c>
      <c r="J38" s="667"/>
      <c r="K38" s="651"/>
      <c r="L38" s="651"/>
      <c r="M38" s="652"/>
      <c r="N38" s="667"/>
      <c r="O38" s="651"/>
      <c r="P38" s="651"/>
      <c r="Q38" s="652"/>
      <c r="R38" s="667"/>
      <c r="S38" s="651"/>
      <c r="T38" s="651"/>
      <c r="U38" s="652"/>
      <c r="V38" s="667"/>
      <c r="W38" s="651"/>
      <c r="X38" s="651"/>
      <c r="Y38" s="652"/>
      <c r="Z38" s="667"/>
      <c r="AA38" s="651"/>
      <c r="AB38" s="651"/>
      <c r="AC38" s="652"/>
      <c r="AD38" s="667">
        <v>-524161</v>
      </c>
      <c r="AE38" s="651"/>
      <c r="AF38" s="651">
        <v>-1702240</v>
      </c>
      <c r="AG38" s="652"/>
      <c r="AH38" s="667"/>
      <c r="AI38" s="651"/>
      <c r="AJ38" s="651"/>
      <c r="AK38" s="652"/>
      <c r="AL38" s="667"/>
      <c r="AM38" s="651"/>
      <c r="AN38" s="651"/>
      <c r="AO38" s="652"/>
      <c r="AP38" s="667"/>
      <c r="AQ38" s="651"/>
      <c r="AR38" s="651"/>
      <c r="AS38" s="652"/>
      <c r="AT38" s="667"/>
      <c r="AU38" s="651"/>
      <c r="AV38" s="651"/>
      <c r="AW38" s="652"/>
      <c r="AX38" s="668"/>
      <c r="AY38" s="660"/>
      <c r="AZ38" s="660"/>
      <c r="BA38" s="661"/>
      <c r="BB38" s="667"/>
      <c r="BC38" s="651"/>
      <c r="BD38" s="651"/>
      <c r="BE38" s="652"/>
      <c r="BF38" s="667"/>
      <c r="BG38" s="651"/>
      <c r="BH38" s="651"/>
      <c r="BI38" s="652"/>
      <c r="BJ38" s="667"/>
      <c r="BK38" s="651"/>
      <c r="BL38" s="651"/>
      <c r="BM38" s="652"/>
      <c r="BN38" s="667"/>
      <c r="BO38" s="651"/>
      <c r="BP38" s="651"/>
      <c r="BQ38" s="652"/>
      <c r="BR38" s="667"/>
      <c r="BS38" s="651"/>
      <c r="BT38" s="651"/>
      <c r="BU38" s="652"/>
      <c r="BV38" s="650"/>
      <c r="BW38" s="651"/>
      <c r="BX38" s="651"/>
      <c r="BY38" s="652"/>
      <c r="BZ38" s="669"/>
      <c r="CA38" s="590"/>
      <c r="CB38" s="590"/>
      <c r="CC38" s="670"/>
      <c r="CD38" s="656"/>
      <c r="CE38" s="657"/>
      <c r="CF38" s="657"/>
      <c r="CG38" s="658"/>
      <c r="CH38" s="659"/>
      <c r="CI38" s="660"/>
      <c r="CJ38" s="660"/>
      <c r="CK38" s="661"/>
      <c r="CL38" s="671"/>
      <c r="CM38" s="651"/>
      <c r="CN38" s="651"/>
      <c r="CO38" s="652"/>
      <c r="CP38" s="638">
        <f t="shared" si="2"/>
        <v>-827570</v>
      </c>
      <c r="CQ38" s="638">
        <f t="shared" si="2"/>
        <v>-194385</v>
      </c>
      <c r="CR38" s="638">
        <f t="shared" si="2"/>
        <v>-2530382</v>
      </c>
      <c r="CS38" s="638">
        <f t="shared" si="2"/>
        <v>-579709</v>
      </c>
      <c r="CT38" s="671"/>
      <c r="CU38" s="651"/>
      <c r="CV38" s="651"/>
      <c r="CW38" s="652"/>
      <c r="CX38" s="638">
        <f t="shared" si="3"/>
        <v>-827570</v>
      </c>
      <c r="CY38" s="638">
        <f t="shared" si="3"/>
        <v>-194385</v>
      </c>
      <c r="CZ38" s="638">
        <f t="shared" si="3"/>
        <v>-2530382</v>
      </c>
      <c r="DA38" s="672">
        <f t="shared" si="3"/>
        <v>-579709</v>
      </c>
    </row>
    <row r="39" spans="1:105" s="952" customFormat="1" ht="18.75" thickBot="1" x14ac:dyDescent="0.4">
      <c r="A39" s="1080" t="s">
        <v>62</v>
      </c>
      <c r="B39" s="1081">
        <v>3070071</v>
      </c>
      <c r="C39" s="1081">
        <v>2187789</v>
      </c>
      <c r="D39" s="1081">
        <v>8431676</v>
      </c>
      <c r="E39" s="1081">
        <v>6575366</v>
      </c>
      <c r="F39" s="1082">
        <v>332835</v>
      </c>
      <c r="G39" s="1081">
        <v>419331</v>
      </c>
      <c r="H39" s="1083">
        <v>943433</v>
      </c>
      <c r="I39" s="1081">
        <v>1162369</v>
      </c>
      <c r="J39" s="1081">
        <v>725580</v>
      </c>
      <c r="K39" s="1081">
        <v>921545</v>
      </c>
      <c r="L39" s="1081">
        <v>2534047</v>
      </c>
      <c r="M39" s="1081">
        <v>2698082</v>
      </c>
      <c r="N39" s="1081">
        <f t="shared" ref="N39:AS39" si="4">SUM(N5:N38)</f>
        <v>4027808</v>
      </c>
      <c r="O39" s="1081">
        <f t="shared" si="4"/>
        <v>2953536</v>
      </c>
      <c r="P39" s="1081">
        <f t="shared" si="4"/>
        <v>11108578</v>
      </c>
      <c r="Q39" s="1081">
        <f t="shared" si="4"/>
        <v>8513046</v>
      </c>
      <c r="R39" s="1081">
        <f t="shared" si="4"/>
        <v>1790014</v>
      </c>
      <c r="S39" s="1081">
        <f t="shared" si="4"/>
        <v>1476060</v>
      </c>
      <c r="T39" s="1081">
        <f t="shared" si="4"/>
        <v>5159304</v>
      </c>
      <c r="U39" s="1081">
        <f t="shared" si="4"/>
        <v>4260284</v>
      </c>
      <c r="V39" s="1081">
        <f t="shared" si="4"/>
        <v>1048273</v>
      </c>
      <c r="W39" s="1081">
        <f t="shared" si="4"/>
        <v>910020</v>
      </c>
      <c r="X39" s="1081">
        <f t="shared" si="4"/>
        <v>2941956</v>
      </c>
      <c r="Y39" s="1081">
        <f t="shared" si="4"/>
        <v>2577828</v>
      </c>
      <c r="Z39" s="1081">
        <f t="shared" si="4"/>
        <v>795762</v>
      </c>
      <c r="AA39" s="1081">
        <f t="shared" si="4"/>
        <v>1622972</v>
      </c>
      <c r="AB39" s="1081">
        <f t="shared" si="4"/>
        <v>4157492</v>
      </c>
      <c r="AC39" s="1081">
        <f t="shared" si="4"/>
        <v>4787645</v>
      </c>
      <c r="AD39" s="1081">
        <f t="shared" si="4"/>
        <v>706312</v>
      </c>
      <c r="AE39" s="1081">
        <f t="shared" si="4"/>
        <v>1002405</v>
      </c>
      <c r="AF39" s="1081">
        <f t="shared" si="4"/>
        <v>1797339</v>
      </c>
      <c r="AG39" s="1081">
        <f t="shared" si="4"/>
        <v>2499071</v>
      </c>
      <c r="AH39" s="1081">
        <f t="shared" si="4"/>
        <v>1891068</v>
      </c>
      <c r="AI39" s="1081">
        <f t="shared" si="4"/>
        <v>1738802</v>
      </c>
      <c r="AJ39" s="1081">
        <f t="shared" si="4"/>
        <v>5468044</v>
      </c>
      <c r="AK39" s="1081">
        <f t="shared" si="4"/>
        <v>5110516</v>
      </c>
      <c r="AL39" s="1081">
        <f t="shared" si="4"/>
        <v>1570444</v>
      </c>
      <c r="AM39" s="1081">
        <f t="shared" si="4"/>
        <v>1690355</v>
      </c>
      <c r="AN39" s="1081">
        <f t="shared" si="4"/>
        <v>4448198</v>
      </c>
      <c r="AO39" s="1081">
        <f t="shared" si="4"/>
        <v>3964920</v>
      </c>
      <c r="AP39" s="1081">
        <f t="shared" si="4"/>
        <v>9243474</v>
      </c>
      <c r="AQ39" s="1081">
        <f t="shared" si="4"/>
        <v>7768559</v>
      </c>
      <c r="AR39" s="1081">
        <f t="shared" si="4"/>
        <v>25946869</v>
      </c>
      <c r="AS39" s="1081">
        <f t="shared" si="4"/>
        <v>20594781</v>
      </c>
      <c r="AT39" s="1081">
        <f t="shared" ref="AT39:BY39" si="5">SUM(AT5:AT38)</f>
        <v>5784637</v>
      </c>
      <c r="AU39" s="1081">
        <f t="shared" si="5"/>
        <v>5210509</v>
      </c>
      <c r="AV39" s="1081">
        <f t="shared" si="5"/>
        <v>18321451</v>
      </c>
      <c r="AW39" s="1081">
        <f t="shared" si="5"/>
        <v>14251826</v>
      </c>
      <c r="AX39" s="1081">
        <f t="shared" si="5"/>
        <v>686842</v>
      </c>
      <c r="AY39" s="1081">
        <f t="shared" si="5"/>
        <v>615144</v>
      </c>
      <c r="AZ39" s="1081">
        <f t="shared" si="5"/>
        <v>1937215</v>
      </c>
      <c r="BA39" s="1081">
        <f t="shared" si="5"/>
        <v>1823558</v>
      </c>
      <c r="BB39" s="1081">
        <f t="shared" si="5"/>
        <v>750376</v>
      </c>
      <c r="BC39" s="1081">
        <f t="shared" si="5"/>
        <v>656147</v>
      </c>
      <c r="BD39" s="1081">
        <f t="shared" si="5"/>
        <v>2178223</v>
      </c>
      <c r="BE39" s="1081">
        <f t="shared" si="5"/>
        <v>1946146</v>
      </c>
      <c r="BF39" s="1081">
        <f t="shared" si="5"/>
        <v>3177582</v>
      </c>
      <c r="BG39" s="1081">
        <f t="shared" si="5"/>
        <v>2716676</v>
      </c>
      <c r="BH39" s="1081">
        <f t="shared" si="5"/>
        <v>9049858</v>
      </c>
      <c r="BI39" s="1081">
        <f t="shared" si="5"/>
        <v>7733391</v>
      </c>
      <c r="BJ39" s="1081">
        <f t="shared" si="5"/>
        <v>4814946</v>
      </c>
      <c r="BK39" s="1081">
        <f t="shared" si="5"/>
        <v>4093501</v>
      </c>
      <c r="BL39" s="1081">
        <f t="shared" si="5"/>
        <v>13085637</v>
      </c>
      <c r="BM39" s="1081">
        <f t="shared" si="5"/>
        <v>11527559</v>
      </c>
      <c r="BN39" s="1081">
        <f t="shared" si="5"/>
        <v>2142102</v>
      </c>
      <c r="BO39" s="1081">
        <f t="shared" si="5"/>
        <v>2063054</v>
      </c>
      <c r="BP39" s="1081">
        <f t="shared" si="5"/>
        <v>6211299</v>
      </c>
      <c r="BQ39" s="1081">
        <f t="shared" si="5"/>
        <v>5855783</v>
      </c>
      <c r="BR39" s="1081">
        <f t="shared" si="5"/>
        <v>2481764</v>
      </c>
      <c r="BS39" s="1081">
        <f t="shared" si="5"/>
        <v>2246657</v>
      </c>
      <c r="BT39" s="1081">
        <f t="shared" si="5"/>
        <v>7662458</v>
      </c>
      <c r="BU39" s="1081">
        <f t="shared" si="5"/>
        <v>6417207</v>
      </c>
      <c r="BV39" s="1081">
        <f t="shared" si="5"/>
        <v>0</v>
      </c>
      <c r="BW39" s="1081">
        <f t="shared" si="5"/>
        <v>0</v>
      </c>
      <c r="BX39" s="1081">
        <f t="shared" si="5"/>
        <v>0</v>
      </c>
      <c r="BY39" s="1081">
        <f t="shared" si="5"/>
        <v>0</v>
      </c>
      <c r="BZ39" s="1081">
        <f t="shared" ref="BZ39:CM39" si="6">SUM(BZ5:BZ38)</f>
        <v>5069234</v>
      </c>
      <c r="CA39" s="1081">
        <f t="shared" si="6"/>
        <v>4393197</v>
      </c>
      <c r="CB39" s="1081">
        <f t="shared" si="6"/>
        <v>14816956</v>
      </c>
      <c r="CC39" s="1081">
        <f t="shared" si="6"/>
        <v>12346346</v>
      </c>
      <c r="CD39" s="1081">
        <f t="shared" si="6"/>
        <v>1192978</v>
      </c>
      <c r="CE39" s="1081">
        <f t="shared" si="6"/>
        <v>1071125</v>
      </c>
      <c r="CF39" s="1081">
        <f t="shared" si="6"/>
        <v>3278958</v>
      </c>
      <c r="CG39" s="1081">
        <f t="shared" si="6"/>
        <v>2841626</v>
      </c>
      <c r="CH39" s="1081">
        <f t="shared" si="6"/>
        <v>847460</v>
      </c>
      <c r="CI39" s="1081">
        <f t="shared" si="6"/>
        <v>706371</v>
      </c>
      <c r="CJ39" s="1081">
        <f t="shared" si="6"/>
        <v>2422737</v>
      </c>
      <c r="CK39" s="1081">
        <f t="shared" si="6"/>
        <v>2332938</v>
      </c>
      <c r="CL39" s="1081">
        <f t="shared" si="6"/>
        <v>3385320</v>
      </c>
      <c r="CM39" s="1081">
        <f t="shared" si="6"/>
        <v>1862890</v>
      </c>
      <c r="CN39" s="1081">
        <f t="shared" ref="CN39:DA39" si="7">SUM(CN5:CN38)</f>
        <v>8679146</v>
      </c>
      <c r="CO39" s="1081">
        <f t="shared" si="7"/>
        <v>5650340</v>
      </c>
      <c r="CP39" s="1081">
        <f t="shared" si="7"/>
        <v>55538940</v>
      </c>
      <c r="CQ39" s="1081">
        <f t="shared" si="7"/>
        <v>48337135</v>
      </c>
      <c r="CR39" s="1081">
        <f t="shared" si="7"/>
        <v>160597597</v>
      </c>
      <c r="CS39" s="1081">
        <f t="shared" si="7"/>
        <v>135487027</v>
      </c>
      <c r="CT39" s="1081">
        <f t="shared" si="7"/>
        <v>71671050</v>
      </c>
      <c r="CU39" s="1081">
        <f t="shared" si="7"/>
        <v>76559266</v>
      </c>
      <c r="CV39" s="1081">
        <f t="shared" si="7"/>
        <v>211707442</v>
      </c>
      <c r="CW39" s="1081">
        <f t="shared" si="7"/>
        <v>197243857</v>
      </c>
      <c r="CX39" s="1081">
        <f t="shared" si="7"/>
        <v>127209990</v>
      </c>
      <c r="CY39" s="1081">
        <f t="shared" si="7"/>
        <v>124896401</v>
      </c>
      <c r="CZ39" s="1081">
        <f t="shared" si="7"/>
        <v>372305039</v>
      </c>
      <c r="DA39" s="1084">
        <f t="shared" si="7"/>
        <v>332730884</v>
      </c>
    </row>
  </sheetData>
  <mergeCells count="29"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BN3:BQ3"/>
    <mergeCell ref="BR3:BU3"/>
    <mergeCell ref="CX3:DA3"/>
    <mergeCell ref="BZ3:CC3"/>
    <mergeCell ref="CD3:CG3"/>
    <mergeCell ref="CH3:CK3"/>
    <mergeCell ref="CL3:CO3"/>
    <mergeCell ref="CP3:CS3"/>
    <mergeCell ref="CT3:CW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39"/>
  <sheetViews>
    <sheetView workbookViewId="0">
      <pane xSplit="1" topLeftCell="B1" activePane="topRight" state="frozen"/>
      <selection pane="topRight" activeCell="CX4" sqref="CX4:DA4"/>
    </sheetView>
  </sheetViews>
  <sheetFormatPr defaultRowHeight="15" x14ac:dyDescent="0.25"/>
  <cols>
    <col min="1" max="1" width="37.28515625" style="474" bestFit="1" customWidth="1"/>
    <col min="2" max="3" width="11.7109375" bestFit="1" customWidth="1"/>
    <col min="4" max="4" width="12.42578125" bestFit="1" customWidth="1"/>
    <col min="5" max="5" width="13.28515625" bestFit="1" customWidth="1"/>
    <col min="6" max="7" width="11.42578125" bestFit="1" customWidth="1"/>
    <col min="8" max="8" width="12.42578125" bestFit="1" customWidth="1"/>
    <col min="9" max="9" width="13.28515625" style="469" bestFit="1" customWidth="1"/>
    <col min="10" max="11" width="11.42578125" bestFit="1" customWidth="1"/>
    <col min="12" max="12" width="12.42578125" bestFit="1" customWidth="1"/>
    <col min="13" max="13" width="13.28515625" bestFit="1" customWidth="1"/>
    <col min="14" max="15" width="11.42578125" bestFit="1" customWidth="1"/>
    <col min="16" max="16" width="12.42578125" bestFit="1" customWidth="1"/>
    <col min="17" max="17" width="13.28515625" bestFit="1" customWidth="1"/>
    <col min="18" max="19" width="11.42578125" bestFit="1" customWidth="1"/>
    <col min="20" max="20" width="12.42578125" bestFit="1" customWidth="1"/>
    <col min="21" max="21" width="13.28515625" bestFit="1" customWidth="1"/>
    <col min="22" max="23" width="11.42578125" bestFit="1" customWidth="1"/>
    <col min="24" max="24" width="12.42578125" bestFit="1" customWidth="1"/>
    <col min="25" max="25" width="13.28515625" bestFit="1" customWidth="1"/>
    <col min="26" max="27" width="11.42578125" bestFit="1" customWidth="1"/>
    <col min="28" max="28" width="12.42578125" bestFit="1" customWidth="1"/>
    <col min="29" max="29" width="13.28515625" bestFit="1" customWidth="1"/>
    <col min="30" max="31" width="11.42578125" bestFit="1" customWidth="1"/>
    <col min="32" max="32" width="12.42578125" bestFit="1" customWidth="1"/>
    <col min="33" max="33" width="13.28515625" bestFit="1" customWidth="1"/>
    <col min="34" max="35" width="11.42578125" bestFit="1" customWidth="1"/>
    <col min="36" max="36" width="12.42578125" bestFit="1" customWidth="1"/>
    <col min="37" max="37" width="13.28515625" bestFit="1" customWidth="1"/>
    <col min="38" max="39" width="11.42578125" bestFit="1" customWidth="1"/>
    <col min="40" max="40" width="12.42578125" bestFit="1" customWidth="1"/>
    <col min="41" max="41" width="13.28515625" bestFit="1" customWidth="1"/>
    <col min="42" max="43" width="11.42578125" style="469" bestFit="1" customWidth="1"/>
    <col min="44" max="44" width="12.42578125" style="469" bestFit="1" customWidth="1"/>
    <col min="45" max="45" width="13.28515625" style="469" bestFit="1" customWidth="1"/>
    <col min="46" max="46" width="11.7109375" customWidth="1"/>
    <col min="47" max="47" width="11.42578125" bestFit="1" customWidth="1"/>
    <col min="48" max="48" width="12.42578125" bestFit="1" customWidth="1"/>
    <col min="49" max="49" width="13.28515625" bestFit="1" customWidth="1"/>
    <col min="50" max="51" width="11.42578125" bestFit="1" customWidth="1"/>
    <col min="52" max="52" width="12.42578125" bestFit="1" customWidth="1"/>
    <col min="53" max="53" width="13.28515625" bestFit="1" customWidth="1"/>
    <col min="54" max="55" width="11.42578125" bestFit="1" customWidth="1"/>
    <col min="56" max="56" width="12.42578125" bestFit="1" customWidth="1"/>
    <col min="57" max="57" width="13.28515625" bestFit="1" customWidth="1"/>
    <col min="58" max="59" width="11.42578125" bestFit="1" customWidth="1"/>
    <col min="60" max="60" width="12.42578125" bestFit="1" customWidth="1"/>
    <col min="61" max="61" width="13.28515625" bestFit="1" customWidth="1"/>
    <col min="62" max="63" width="11.42578125" bestFit="1" customWidth="1"/>
    <col min="64" max="64" width="12.42578125" bestFit="1" customWidth="1"/>
    <col min="65" max="65" width="13.28515625" bestFit="1" customWidth="1"/>
    <col min="66" max="67" width="11.42578125" bestFit="1" customWidth="1"/>
    <col min="68" max="68" width="12.42578125" bestFit="1" customWidth="1"/>
    <col min="69" max="69" width="13.28515625" bestFit="1" customWidth="1"/>
    <col min="70" max="71" width="11.42578125" bestFit="1" customWidth="1"/>
    <col min="72" max="72" width="12.42578125" bestFit="1" customWidth="1"/>
    <col min="73" max="73" width="13.28515625" bestFit="1" customWidth="1"/>
    <col min="74" max="75" width="11.42578125" bestFit="1" customWidth="1"/>
    <col min="76" max="76" width="12.42578125" bestFit="1" customWidth="1"/>
    <col min="77" max="77" width="13.28515625" bestFit="1" customWidth="1"/>
    <col min="78" max="79" width="11.42578125" customWidth="1"/>
    <col min="80" max="80" width="12.42578125" bestFit="1" customWidth="1"/>
    <col min="81" max="81" width="13.28515625" bestFit="1" customWidth="1"/>
    <col min="82" max="83" width="11.42578125" style="469" bestFit="1" customWidth="1"/>
    <col min="84" max="84" width="12.42578125" style="469" bestFit="1" customWidth="1"/>
    <col min="85" max="85" width="13.28515625" style="469" bestFit="1" customWidth="1"/>
    <col min="86" max="87" width="11.42578125" style="469" bestFit="1" customWidth="1"/>
    <col min="88" max="88" width="12.42578125" style="469" bestFit="1" customWidth="1"/>
    <col min="89" max="89" width="13.28515625" style="469" bestFit="1" customWidth="1"/>
    <col min="90" max="91" width="11.42578125" style="469" bestFit="1" customWidth="1"/>
    <col min="92" max="92" width="12.42578125" style="469" bestFit="1" customWidth="1"/>
    <col min="93" max="93" width="13.28515625" style="469" bestFit="1" customWidth="1"/>
    <col min="94" max="95" width="11.42578125" style="470" bestFit="1" customWidth="1"/>
    <col min="96" max="96" width="12.42578125" style="470" bestFit="1" customWidth="1"/>
    <col min="97" max="97" width="13.28515625" style="470" bestFit="1" customWidth="1"/>
    <col min="98" max="99" width="11.42578125" style="470" bestFit="1" customWidth="1"/>
    <col min="100" max="100" width="12.42578125" style="470" bestFit="1" customWidth="1"/>
    <col min="101" max="101" width="13.28515625" style="470" bestFit="1" customWidth="1"/>
    <col min="102" max="103" width="11.42578125" style="470" bestFit="1" customWidth="1"/>
    <col min="104" max="104" width="12.42578125" style="470" bestFit="1" customWidth="1"/>
    <col min="105" max="105" width="13.28515625" style="470" bestFit="1" customWidth="1"/>
  </cols>
  <sheetData>
    <row r="1" spans="1:105" s="313" customFormat="1" ht="18" x14ac:dyDescent="0.35">
      <c r="A1" s="1378" t="s">
        <v>254</v>
      </c>
      <c r="B1" s="1378"/>
      <c r="C1" s="1378"/>
      <c r="D1" s="1378"/>
      <c r="E1" s="1378"/>
      <c r="F1" s="1378"/>
      <c r="G1" s="1378"/>
      <c r="H1" s="1378"/>
      <c r="I1" s="1378"/>
      <c r="J1" s="1378"/>
      <c r="K1" s="1378"/>
      <c r="L1" s="1378"/>
      <c r="M1" s="1378"/>
      <c r="N1" s="1378"/>
      <c r="O1" s="1378"/>
      <c r="P1" s="1378"/>
      <c r="Q1" s="1378"/>
      <c r="R1" s="1378"/>
      <c r="S1" s="1378"/>
      <c r="T1" s="1378"/>
      <c r="U1" s="1378"/>
      <c r="V1" s="1378"/>
      <c r="W1" s="1378"/>
      <c r="X1" s="1378"/>
      <c r="Y1" s="1378"/>
      <c r="Z1" s="1378"/>
      <c r="AA1" s="1378"/>
      <c r="AB1" s="1378"/>
      <c r="AC1" s="1378"/>
      <c r="AD1" s="1378"/>
      <c r="AE1" s="1378"/>
      <c r="AF1" s="1378"/>
      <c r="AG1" s="1378"/>
      <c r="AH1" s="1378"/>
      <c r="AI1" s="1378"/>
      <c r="AJ1" s="1378"/>
      <c r="AK1" s="1378"/>
      <c r="AL1" s="1378"/>
      <c r="AM1" s="1378"/>
      <c r="AN1" s="1378"/>
      <c r="AO1" s="1378"/>
      <c r="AP1" s="1378"/>
      <c r="AQ1" s="1378"/>
      <c r="AR1" s="1378"/>
      <c r="AS1" s="1378"/>
      <c r="AT1" s="1378"/>
      <c r="AU1" s="1378"/>
      <c r="AV1" s="1378"/>
      <c r="AW1" s="1378"/>
      <c r="AX1" s="1378"/>
      <c r="AY1" s="1378"/>
      <c r="AZ1" s="1378"/>
      <c r="BA1" s="1378"/>
      <c r="BB1" s="1378"/>
      <c r="BC1" s="1378"/>
      <c r="BD1" s="1378"/>
      <c r="BE1" s="1378"/>
      <c r="BF1" s="1378"/>
      <c r="BG1" s="1378"/>
      <c r="BH1" s="1378"/>
      <c r="BI1" s="1378"/>
      <c r="BJ1" s="1378"/>
      <c r="BK1" s="1378"/>
      <c r="BL1" s="1378"/>
      <c r="BM1" s="1378"/>
      <c r="BN1" s="1378"/>
      <c r="BO1" s="1378"/>
      <c r="BP1" s="1378"/>
      <c r="BQ1" s="1378"/>
      <c r="BR1" s="1378"/>
      <c r="BS1" s="1378"/>
      <c r="BT1" s="1378"/>
      <c r="BU1" s="1378"/>
      <c r="BV1" s="1378"/>
      <c r="BW1" s="1378"/>
      <c r="BX1" s="1378"/>
      <c r="BY1" s="1378"/>
      <c r="BZ1" s="1378"/>
      <c r="CA1" s="1378"/>
      <c r="CB1" s="1378"/>
      <c r="CC1" s="1378"/>
      <c r="CD1" s="1378"/>
      <c r="CE1" s="1378"/>
      <c r="CF1" s="1378"/>
      <c r="CG1" s="1378"/>
      <c r="CH1" s="1378"/>
      <c r="CI1" s="1378"/>
      <c r="CJ1" s="1378"/>
      <c r="CK1" s="1378"/>
      <c r="CL1" s="1378"/>
      <c r="CM1" s="1378"/>
      <c r="CN1" s="1378"/>
      <c r="CO1" s="1378"/>
      <c r="CP1" s="1378"/>
      <c r="CQ1" s="1378"/>
      <c r="CR1" s="1378"/>
      <c r="CS1" s="1378"/>
      <c r="CT1" s="1378"/>
      <c r="CU1" s="1378"/>
      <c r="CV1" s="1378"/>
      <c r="CW1" s="1378"/>
      <c r="CX1" s="1378"/>
      <c r="CY1" s="1378"/>
      <c r="CZ1" s="402"/>
      <c r="DA1" s="402"/>
    </row>
    <row r="2" spans="1:105" s="313" customFormat="1" ht="17.25" thickBot="1" x14ac:dyDescent="0.35">
      <c r="A2" s="1409" t="s">
        <v>67</v>
      </c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09"/>
      <c r="AB2" s="1409"/>
      <c r="AC2" s="1409"/>
      <c r="AD2" s="1409"/>
      <c r="AE2" s="1409"/>
      <c r="AF2" s="1409"/>
      <c r="AG2" s="1409"/>
      <c r="AH2" s="1409"/>
      <c r="AI2" s="1409"/>
      <c r="AJ2" s="1409"/>
      <c r="AK2" s="1409"/>
      <c r="AL2" s="1409"/>
      <c r="AM2" s="1409"/>
      <c r="AN2" s="1409"/>
      <c r="AO2" s="1409"/>
      <c r="AP2" s="1409"/>
      <c r="AQ2" s="1409"/>
      <c r="AR2" s="1409"/>
      <c r="AS2" s="1409"/>
      <c r="AT2" s="1409"/>
      <c r="AU2" s="1409"/>
      <c r="AV2" s="1409"/>
      <c r="AW2" s="1409"/>
      <c r="AX2" s="1409"/>
      <c r="AY2" s="1409"/>
      <c r="AZ2" s="1409"/>
      <c r="BA2" s="1409"/>
      <c r="BB2" s="1409"/>
      <c r="BC2" s="1409"/>
      <c r="BD2" s="1409"/>
      <c r="BE2" s="1409"/>
      <c r="BF2" s="1409"/>
      <c r="BG2" s="1409"/>
      <c r="BH2" s="1409"/>
      <c r="BI2" s="1409"/>
      <c r="BJ2" s="1409"/>
      <c r="BK2" s="1409"/>
      <c r="BL2" s="1409"/>
      <c r="BM2" s="1409"/>
      <c r="BN2" s="1409"/>
      <c r="BO2" s="1409"/>
      <c r="BP2" s="1409"/>
      <c r="BQ2" s="1409"/>
      <c r="BR2" s="1409"/>
      <c r="BS2" s="1409"/>
      <c r="BT2" s="1409"/>
      <c r="BU2" s="1409"/>
      <c r="BV2" s="1409"/>
      <c r="BW2" s="1409"/>
      <c r="BX2" s="1409"/>
      <c r="BY2" s="1409"/>
      <c r="BZ2" s="1409"/>
      <c r="CA2" s="1409"/>
      <c r="CB2" s="1409"/>
      <c r="CC2" s="1409"/>
      <c r="CD2" s="1409"/>
      <c r="CE2" s="1409"/>
      <c r="CF2" s="1409"/>
      <c r="CG2" s="1409"/>
      <c r="CH2" s="1409"/>
      <c r="CI2" s="1409"/>
      <c r="CJ2" s="1409"/>
      <c r="CK2" s="1409"/>
      <c r="CL2" s="1409"/>
      <c r="CM2" s="1409"/>
      <c r="CN2" s="1409"/>
      <c r="CO2" s="1409"/>
      <c r="CP2" s="1409"/>
      <c r="CQ2" s="1409"/>
      <c r="CR2" s="1409"/>
      <c r="CS2" s="1409"/>
      <c r="CT2" s="1409"/>
      <c r="CU2" s="1409"/>
      <c r="CV2" s="1409"/>
      <c r="CW2" s="1409"/>
      <c r="CX2" s="1409"/>
      <c r="CY2" s="1409"/>
      <c r="CZ2" s="402"/>
      <c r="DA2" s="402"/>
    </row>
    <row r="3" spans="1:105" s="313" customFormat="1" ht="38.25" customHeight="1" x14ac:dyDescent="0.3">
      <c r="A3" s="1410" t="s">
        <v>1</v>
      </c>
      <c r="B3" s="1382" t="s">
        <v>258</v>
      </c>
      <c r="C3" s="1383"/>
      <c r="D3" s="1383"/>
      <c r="E3" s="1384"/>
      <c r="F3" s="1370" t="s">
        <v>259</v>
      </c>
      <c r="G3" s="1370"/>
      <c r="H3" s="1370"/>
      <c r="I3" s="1371"/>
      <c r="J3" s="1370" t="s">
        <v>260</v>
      </c>
      <c r="K3" s="1370"/>
      <c r="L3" s="1370"/>
      <c r="M3" s="1371"/>
      <c r="N3" s="1370" t="s">
        <v>261</v>
      </c>
      <c r="O3" s="1370"/>
      <c r="P3" s="1370"/>
      <c r="Q3" s="1371"/>
      <c r="R3" s="1370" t="s">
        <v>262</v>
      </c>
      <c r="S3" s="1370"/>
      <c r="T3" s="1370"/>
      <c r="U3" s="1371"/>
      <c r="V3" s="1370" t="s">
        <v>263</v>
      </c>
      <c r="W3" s="1370"/>
      <c r="X3" s="1370"/>
      <c r="Y3" s="1371"/>
      <c r="Z3" s="1370" t="s">
        <v>264</v>
      </c>
      <c r="AA3" s="1370"/>
      <c r="AB3" s="1370"/>
      <c r="AC3" s="1371"/>
      <c r="AD3" s="1370" t="s">
        <v>265</v>
      </c>
      <c r="AE3" s="1370"/>
      <c r="AF3" s="1370"/>
      <c r="AG3" s="1371"/>
      <c r="AH3" s="1369" t="s">
        <v>266</v>
      </c>
      <c r="AI3" s="1370"/>
      <c r="AJ3" s="1370"/>
      <c r="AK3" s="1371"/>
      <c r="AL3" s="1369" t="s">
        <v>267</v>
      </c>
      <c r="AM3" s="1370"/>
      <c r="AN3" s="1370"/>
      <c r="AO3" s="1370"/>
      <c r="AP3" s="1412" t="s">
        <v>268</v>
      </c>
      <c r="AQ3" s="1413"/>
      <c r="AR3" s="1413"/>
      <c r="AS3" s="1413"/>
      <c r="AT3" s="1369" t="s">
        <v>269</v>
      </c>
      <c r="AU3" s="1370"/>
      <c r="AV3" s="1370"/>
      <c r="AW3" s="1370"/>
      <c r="AX3" s="1369" t="s">
        <v>270</v>
      </c>
      <c r="AY3" s="1370"/>
      <c r="AZ3" s="1370"/>
      <c r="BA3" s="1370"/>
      <c r="BB3" s="1369" t="s">
        <v>271</v>
      </c>
      <c r="BC3" s="1370"/>
      <c r="BD3" s="1370"/>
      <c r="BE3" s="1370"/>
      <c r="BF3" s="1375" t="s">
        <v>272</v>
      </c>
      <c r="BG3" s="1376"/>
      <c r="BH3" s="1376"/>
      <c r="BI3" s="1376"/>
      <c r="BJ3" s="1414" t="s">
        <v>273</v>
      </c>
      <c r="BK3" s="1415"/>
      <c r="BL3" s="1415"/>
      <c r="BM3" s="1416"/>
      <c r="BN3" s="1369" t="s">
        <v>274</v>
      </c>
      <c r="BO3" s="1370"/>
      <c r="BP3" s="1370"/>
      <c r="BQ3" s="1370"/>
      <c r="BR3" s="1369" t="s">
        <v>275</v>
      </c>
      <c r="BS3" s="1370"/>
      <c r="BT3" s="1370"/>
      <c r="BU3" s="1370"/>
      <c r="BV3" s="1375" t="s">
        <v>276</v>
      </c>
      <c r="BW3" s="1376"/>
      <c r="BX3" s="1376"/>
      <c r="BY3" s="1376"/>
      <c r="BZ3" s="1369" t="s">
        <v>277</v>
      </c>
      <c r="CA3" s="1370"/>
      <c r="CB3" s="1370"/>
      <c r="CC3" s="1370"/>
      <c r="CD3" s="1412" t="s">
        <v>278</v>
      </c>
      <c r="CE3" s="1413"/>
      <c r="CF3" s="1413"/>
      <c r="CG3" s="1413"/>
      <c r="CH3" s="1412" t="s">
        <v>279</v>
      </c>
      <c r="CI3" s="1413"/>
      <c r="CJ3" s="1413"/>
      <c r="CK3" s="1413"/>
      <c r="CL3" s="1412" t="s">
        <v>280</v>
      </c>
      <c r="CM3" s="1413"/>
      <c r="CN3" s="1413"/>
      <c r="CO3" s="1413"/>
      <c r="CP3" s="1417" t="s">
        <v>2</v>
      </c>
      <c r="CQ3" s="1418"/>
      <c r="CR3" s="1418"/>
      <c r="CS3" s="1418"/>
      <c r="CT3" s="1402" t="s">
        <v>281</v>
      </c>
      <c r="CU3" s="1397"/>
      <c r="CV3" s="1397"/>
      <c r="CW3" s="1397"/>
      <c r="CX3" s="1399" t="s">
        <v>3</v>
      </c>
      <c r="CY3" s="1400"/>
      <c r="CZ3" s="1400"/>
      <c r="DA3" s="1401"/>
    </row>
    <row r="4" spans="1:105" ht="15" customHeight="1" thickBot="1" x14ac:dyDescent="0.35">
      <c r="A4" s="1411"/>
      <c r="B4" s="131" t="s">
        <v>4</v>
      </c>
      <c r="C4" s="132" t="s">
        <v>5</v>
      </c>
      <c r="D4" s="132" t="s">
        <v>6</v>
      </c>
      <c r="E4" s="133" t="s">
        <v>7</v>
      </c>
      <c r="F4" s="131" t="s">
        <v>4</v>
      </c>
      <c r="G4" s="132" t="s">
        <v>5</v>
      </c>
      <c r="H4" s="132" t="s">
        <v>6</v>
      </c>
      <c r="I4" s="133" t="s">
        <v>7</v>
      </c>
      <c r="J4" s="131" t="s">
        <v>4</v>
      </c>
      <c r="K4" s="132" t="s">
        <v>5</v>
      </c>
      <c r="L4" s="132" t="s">
        <v>6</v>
      </c>
      <c r="M4" s="133" t="s">
        <v>7</v>
      </c>
      <c r="N4" s="131" t="s">
        <v>4</v>
      </c>
      <c r="O4" s="132" t="s">
        <v>5</v>
      </c>
      <c r="P4" s="132" t="s">
        <v>6</v>
      </c>
      <c r="Q4" s="133" t="s">
        <v>7</v>
      </c>
      <c r="R4" s="131" t="s">
        <v>4</v>
      </c>
      <c r="S4" s="132" t="s">
        <v>5</v>
      </c>
      <c r="T4" s="132" t="s">
        <v>6</v>
      </c>
      <c r="U4" s="133" t="s">
        <v>7</v>
      </c>
      <c r="V4" s="131" t="s">
        <v>4</v>
      </c>
      <c r="W4" s="132" t="s">
        <v>5</v>
      </c>
      <c r="X4" s="132" t="s">
        <v>6</v>
      </c>
      <c r="Y4" s="133" t="s">
        <v>7</v>
      </c>
      <c r="Z4" s="131" t="s">
        <v>4</v>
      </c>
      <c r="AA4" s="132" t="s">
        <v>5</v>
      </c>
      <c r="AB4" s="132" t="s">
        <v>6</v>
      </c>
      <c r="AC4" s="133" t="s">
        <v>7</v>
      </c>
      <c r="AD4" s="131" t="s">
        <v>4</v>
      </c>
      <c r="AE4" s="132" t="s">
        <v>5</v>
      </c>
      <c r="AF4" s="132" t="s">
        <v>6</v>
      </c>
      <c r="AG4" s="133" t="s">
        <v>7</v>
      </c>
      <c r="AH4" s="131" t="s">
        <v>4</v>
      </c>
      <c r="AI4" s="132" t="s">
        <v>5</v>
      </c>
      <c r="AJ4" s="132" t="s">
        <v>6</v>
      </c>
      <c r="AK4" s="133" t="s">
        <v>7</v>
      </c>
      <c r="AL4" s="131" t="s">
        <v>4</v>
      </c>
      <c r="AM4" s="132" t="s">
        <v>5</v>
      </c>
      <c r="AN4" s="132" t="s">
        <v>6</v>
      </c>
      <c r="AO4" s="133" t="s">
        <v>7</v>
      </c>
      <c r="AP4" s="131" t="s">
        <v>4</v>
      </c>
      <c r="AQ4" s="132" t="s">
        <v>5</v>
      </c>
      <c r="AR4" s="132" t="s">
        <v>6</v>
      </c>
      <c r="AS4" s="133" t="s">
        <v>7</v>
      </c>
      <c r="AT4" s="131" t="s">
        <v>4</v>
      </c>
      <c r="AU4" s="132" t="s">
        <v>5</v>
      </c>
      <c r="AV4" s="132" t="s">
        <v>6</v>
      </c>
      <c r="AW4" s="133" t="s">
        <v>7</v>
      </c>
      <c r="AX4" s="131" t="s">
        <v>4</v>
      </c>
      <c r="AY4" s="132" t="s">
        <v>5</v>
      </c>
      <c r="AZ4" s="132" t="s">
        <v>6</v>
      </c>
      <c r="BA4" s="133" t="s">
        <v>7</v>
      </c>
      <c r="BB4" s="131" t="s">
        <v>4</v>
      </c>
      <c r="BC4" s="132" t="s">
        <v>5</v>
      </c>
      <c r="BD4" s="132" t="s">
        <v>6</v>
      </c>
      <c r="BE4" s="133" t="s">
        <v>7</v>
      </c>
      <c r="BF4" s="131" t="s">
        <v>4</v>
      </c>
      <c r="BG4" s="132" t="s">
        <v>5</v>
      </c>
      <c r="BH4" s="132" t="s">
        <v>6</v>
      </c>
      <c r="BI4" s="133" t="s">
        <v>7</v>
      </c>
      <c r="BJ4" s="131" t="s">
        <v>4</v>
      </c>
      <c r="BK4" s="132" t="s">
        <v>5</v>
      </c>
      <c r="BL4" s="132" t="s">
        <v>6</v>
      </c>
      <c r="BM4" s="133" t="s">
        <v>7</v>
      </c>
      <c r="BN4" s="131" t="s">
        <v>4</v>
      </c>
      <c r="BO4" s="132" t="s">
        <v>5</v>
      </c>
      <c r="BP4" s="132" t="s">
        <v>6</v>
      </c>
      <c r="BQ4" s="133" t="s">
        <v>7</v>
      </c>
      <c r="BR4" s="131" t="s">
        <v>4</v>
      </c>
      <c r="BS4" s="132" t="s">
        <v>5</v>
      </c>
      <c r="BT4" s="132" t="s">
        <v>6</v>
      </c>
      <c r="BU4" s="133" t="s">
        <v>7</v>
      </c>
      <c r="BV4" s="131" t="s">
        <v>4</v>
      </c>
      <c r="BW4" s="132" t="s">
        <v>5</v>
      </c>
      <c r="BX4" s="132" t="s">
        <v>6</v>
      </c>
      <c r="BY4" s="133" t="s">
        <v>7</v>
      </c>
      <c r="BZ4" s="131" t="s">
        <v>4</v>
      </c>
      <c r="CA4" s="132" t="s">
        <v>5</v>
      </c>
      <c r="CB4" s="132" t="s">
        <v>6</v>
      </c>
      <c r="CC4" s="133" t="s">
        <v>7</v>
      </c>
      <c r="CD4" s="131" t="s">
        <v>4</v>
      </c>
      <c r="CE4" s="132" t="s">
        <v>5</v>
      </c>
      <c r="CF4" s="132" t="s">
        <v>6</v>
      </c>
      <c r="CG4" s="133" t="s">
        <v>7</v>
      </c>
      <c r="CH4" s="131" t="s">
        <v>4</v>
      </c>
      <c r="CI4" s="132" t="s">
        <v>5</v>
      </c>
      <c r="CJ4" s="132" t="s">
        <v>6</v>
      </c>
      <c r="CK4" s="133" t="s">
        <v>7</v>
      </c>
      <c r="CL4" s="131" t="s">
        <v>4</v>
      </c>
      <c r="CM4" s="132" t="s">
        <v>5</v>
      </c>
      <c r="CN4" s="132" t="s">
        <v>6</v>
      </c>
      <c r="CO4" s="133" t="s">
        <v>7</v>
      </c>
      <c r="CP4" s="131" t="s">
        <v>4</v>
      </c>
      <c r="CQ4" s="132" t="s">
        <v>5</v>
      </c>
      <c r="CR4" s="132" t="s">
        <v>6</v>
      </c>
      <c r="CS4" s="133" t="s">
        <v>7</v>
      </c>
      <c r="CT4" s="131" t="s">
        <v>4</v>
      </c>
      <c r="CU4" s="132" t="s">
        <v>5</v>
      </c>
      <c r="CV4" s="132" t="s">
        <v>6</v>
      </c>
      <c r="CW4" s="133" t="s">
        <v>7</v>
      </c>
      <c r="CX4" s="131" t="s">
        <v>4</v>
      </c>
      <c r="CY4" s="132" t="s">
        <v>5</v>
      </c>
      <c r="CZ4" s="132" t="s">
        <v>6</v>
      </c>
      <c r="DA4" s="133" t="s">
        <v>7</v>
      </c>
    </row>
    <row r="5" spans="1:105" s="327" customFormat="1" ht="15" customHeight="1" thickBot="1" x14ac:dyDescent="0.35">
      <c r="A5" s="507" t="s">
        <v>38</v>
      </c>
      <c r="B5" s="508"/>
      <c r="C5" s="509"/>
      <c r="D5" s="509"/>
      <c r="E5" s="510"/>
      <c r="F5" s="511"/>
      <c r="G5" s="509"/>
      <c r="H5" s="509"/>
      <c r="I5" s="512"/>
      <c r="J5" s="513"/>
      <c r="K5" s="514"/>
      <c r="L5" s="514"/>
      <c r="M5" s="512"/>
      <c r="N5" s="513"/>
      <c r="O5" s="514"/>
      <c r="P5" s="514"/>
      <c r="Q5" s="512"/>
      <c r="R5" s="513"/>
      <c r="S5" s="514"/>
      <c r="T5" s="514"/>
      <c r="U5" s="512"/>
      <c r="V5" s="513"/>
      <c r="W5" s="514"/>
      <c r="X5" s="514"/>
      <c r="Y5" s="512"/>
      <c r="Z5" s="513"/>
      <c r="AA5" s="514"/>
      <c r="AB5" s="514"/>
      <c r="AC5" s="512"/>
      <c r="AD5" s="511"/>
      <c r="AE5" s="509"/>
      <c r="AF5" s="509"/>
      <c r="AG5" s="510"/>
      <c r="AH5" s="508"/>
      <c r="AI5" s="509"/>
      <c r="AJ5" s="509"/>
      <c r="AK5" s="510"/>
      <c r="AL5" s="508"/>
      <c r="AM5" s="509"/>
      <c r="AN5" s="509"/>
      <c r="AO5" s="515"/>
      <c r="AP5" s="516"/>
      <c r="AQ5" s="514"/>
      <c r="AR5" s="514"/>
      <c r="AS5" s="517"/>
      <c r="AT5" s="508"/>
      <c r="AU5" s="509"/>
      <c r="AV5" s="509"/>
      <c r="AW5" s="515"/>
      <c r="AX5" s="508"/>
      <c r="AY5" s="509"/>
      <c r="AZ5" s="509"/>
      <c r="BA5" s="515"/>
      <c r="BB5" s="508"/>
      <c r="BC5" s="509"/>
      <c r="BD5" s="509"/>
      <c r="BE5" s="515"/>
      <c r="BF5" s="508"/>
      <c r="BG5" s="509"/>
      <c r="BH5" s="509"/>
      <c r="BI5" s="515"/>
      <c r="BJ5" s="508"/>
      <c r="BK5" s="509"/>
      <c r="BL5" s="509"/>
      <c r="BM5" s="515"/>
      <c r="BN5" s="508"/>
      <c r="BO5" s="509"/>
      <c r="BP5" s="509"/>
      <c r="BQ5" s="515"/>
      <c r="BR5" s="508"/>
      <c r="BS5" s="509"/>
      <c r="BT5" s="509"/>
      <c r="BU5" s="515"/>
      <c r="BV5" s="914"/>
      <c r="BW5" s="915"/>
      <c r="BX5" s="915"/>
      <c r="BY5" s="916"/>
      <c r="BZ5" s="923"/>
      <c r="CA5" s="924"/>
      <c r="CB5" s="924"/>
      <c r="CC5" s="925"/>
      <c r="CD5" s="516"/>
      <c r="CE5" s="514"/>
      <c r="CF5" s="514"/>
      <c r="CG5" s="517"/>
      <c r="CH5" s="516"/>
      <c r="CI5" s="514"/>
      <c r="CJ5" s="514"/>
      <c r="CK5" s="517"/>
      <c r="CL5" s="516"/>
      <c r="CM5" s="514"/>
      <c r="CN5" s="514"/>
      <c r="CO5" s="517"/>
      <c r="CP5" s="516"/>
      <c r="CQ5" s="514"/>
      <c r="CR5" s="514"/>
      <c r="CS5" s="517"/>
      <c r="CT5" s="516"/>
      <c r="CU5" s="514"/>
      <c r="CV5" s="514"/>
      <c r="CW5" s="517"/>
      <c r="CX5" s="516"/>
      <c r="CY5" s="514"/>
      <c r="CZ5" s="518"/>
      <c r="DA5" s="519"/>
    </row>
    <row r="6" spans="1:105" s="327" customFormat="1" ht="14.25" x14ac:dyDescent="0.3">
      <c r="A6" s="372" t="s">
        <v>39</v>
      </c>
      <c r="B6" s="403">
        <v>1375458</v>
      </c>
      <c r="C6" s="329">
        <v>974001</v>
      </c>
      <c r="D6" s="329">
        <v>3415333</v>
      </c>
      <c r="E6" s="330">
        <v>3103439</v>
      </c>
      <c r="F6" s="404">
        <v>131177</v>
      </c>
      <c r="G6" s="332">
        <v>123007</v>
      </c>
      <c r="H6" s="332">
        <v>560751</v>
      </c>
      <c r="I6" s="337">
        <v>339282</v>
      </c>
      <c r="J6" s="405">
        <v>297543</v>
      </c>
      <c r="K6" s="336">
        <v>244973</v>
      </c>
      <c r="L6" s="336">
        <v>689622</v>
      </c>
      <c r="M6" s="337">
        <v>722836</v>
      </c>
      <c r="N6" s="405">
        <v>2635731</v>
      </c>
      <c r="O6" s="336">
        <v>2429863</v>
      </c>
      <c r="P6" s="336">
        <v>7705245</v>
      </c>
      <c r="Q6" s="337">
        <v>8322151</v>
      </c>
      <c r="R6" s="405">
        <v>220728</v>
      </c>
      <c r="S6" s="336">
        <v>173912</v>
      </c>
      <c r="T6" s="336">
        <v>649544</v>
      </c>
      <c r="U6" s="337">
        <v>514972</v>
      </c>
      <c r="V6" s="405">
        <v>323884</v>
      </c>
      <c r="W6" s="336">
        <v>199565</v>
      </c>
      <c r="X6" s="336">
        <v>967959</v>
      </c>
      <c r="Y6" s="337">
        <v>523415</v>
      </c>
      <c r="Z6" s="405">
        <v>866413</v>
      </c>
      <c r="AA6" s="336">
        <v>486948</v>
      </c>
      <c r="AB6" s="405">
        <v>2360346</v>
      </c>
      <c r="AC6" s="337">
        <v>1284987</v>
      </c>
      <c r="AD6" s="404">
        <v>213631</v>
      </c>
      <c r="AE6" s="332">
        <v>86608</v>
      </c>
      <c r="AF6" s="332">
        <v>400116</v>
      </c>
      <c r="AG6" s="333">
        <v>344999</v>
      </c>
      <c r="AH6" s="331">
        <v>521119</v>
      </c>
      <c r="AI6" s="332">
        <v>403809</v>
      </c>
      <c r="AJ6" s="332">
        <v>1600596</v>
      </c>
      <c r="AK6" s="333">
        <v>1566575</v>
      </c>
      <c r="AL6" s="331">
        <v>211021</v>
      </c>
      <c r="AM6" s="332">
        <v>213004</v>
      </c>
      <c r="AN6" s="332">
        <v>629547</v>
      </c>
      <c r="AO6" s="334">
        <v>701644</v>
      </c>
      <c r="AP6" s="335">
        <v>3758966</v>
      </c>
      <c r="AQ6" s="336">
        <v>2588630</v>
      </c>
      <c r="AR6" s="336">
        <v>10014159</v>
      </c>
      <c r="AS6" s="357">
        <v>6998089</v>
      </c>
      <c r="AT6" s="331">
        <v>3087032</v>
      </c>
      <c r="AU6" s="332">
        <v>2361271</v>
      </c>
      <c r="AV6" s="332">
        <v>8069261</v>
      </c>
      <c r="AW6" s="334">
        <v>6362291</v>
      </c>
      <c r="AX6" s="338">
        <v>160670</v>
      </c>
      <c r="AY6" s="339">
        <v>220339</v>
      </c>
      <c r="AZ6" s="339">
        <v>456736</v>
      </c>
      <c r="BA6" s="406">
        <v>541859</v>
      </c>
      <c r="BB6" s="331">
        <v>715624</v>
      </c>
      <c r="BC6" s="332">
        <v>602053</v>
      </c>
      <c r="BD6" s="332">
        <v>1944547</v>
      </c>
      <c r="BE6" s="334">
        <v>1705590</v>
      </c>
      <c r="BF6" s="331">
        <v>1544410</v>
      </c>
      <c r="BG6" s="332">
        <v>1400804</v>
      </c>
      <c r="BH6" s="332">
        <v>4665023</v>
      </c>
      <c r="BI6" s="334">
        <v>3951170</v>
      </c>
      <c r="BJ6" s="331">
        <v>1716564</v>
      </c>
      <c r="BK6" s="332">
        <v>1160919</v>
      </c>
      <c r="BL6" s="332">
        <v>4552976</v>
      </c>
      <c r="BM6" s="407">
        <v>3741096</v>
      </c>
      <c r="BN6" s="331">
        <v>925531</v>
      </c>
      <c r="BO6" s="332">
        <v>980175</v>
      </c>
      <c r="BP6" s="332">
        <v>2520351</v>
      </c>
      <c r="BQ6" s="334">
        <v>2458538</v>
      </c>
      <c r="BR6" s="331">
        <v>429714</v>
      </c>
      <c r="BS6" s="332">
        <v>435517</v>
      </c>
      <c r="BT6" s="332">
        <v>1454361</v>
      </c>
      <c r="BU6" s="334">
        <v>1336072</v>
      </c>
      <c r="BV6" s="341"/>
      <c r="BW6" s="332"/>
      <c r="BX6" s="332"/>
      <c r="BY6" s="334"/>
      <c r="BZ6" s="926">
        <v>3710280</v>
      </c>
      <c r="CA6" s="927">
        <v>3083346</v>
      </c>
      <c r="CB6" s="927">
        <v>11647079</v>
      </c>
      <c r="CC6" s="928">
        <v>9563200</v>
      </c>
      <c r="CD6" s="920">
        <v>558960</v>
      </c>
      <c r="CE6" s="365">
        <v>534344</v>
      </c>
      <c r="CF6" s="365">
        <v>1720444</v>
      </c>
      <c r="CG6" s="408">
        <v>1444965</v>
      </c>
      <c r="CH6" s="367">
        <v>389341</v>
      </c>
      <c r="CI6" s="368">
        <v>313553</v>
      </c>
      <c r="CJ6" s="368">
        <v>1187385</v>
      </c>
      <c r="CK6" s="409">
        <v>1003504</v>
      </c>
      <c r="CL6" s="335">
        <v>586215</v>
      </c>
      <c r="CM6" s="336">
        <v>601710</v>
      </c>
      <c r="CN6" s="336">
        <v>1595696</v>
      </c>
      <c r="CO6" s="357">
        <v>1575346</v>
      </c>
      <c r="CP6" s="370">
        <f>SUM(B6+F6+J6+N6+R6+V6+Z6+AD6+AH6+AL6+AP6+AT6+AX6+BB6+BF6+BJ6+BN6+BR6+BV6+BZ6+CD6+CH6+CL6)</f>
        <v>24380012</v>
      </c>
      <c r="CQ6" s="410">
        <f t="shared" ref="CQ6:CS21" si="0">SUM(C6+G6+K6+O6+S6+W6+AA6+AE6+AI6+AM6+AQ6+AU6+AY6+BC6+BG6+BK6+BO6+BS6+BW6+CA6+CE6+CI6+CM6)</f>
        <v>19618351</v>
      </c>
      <c r="CR6" s="410">
        <f t="shared" si="0"/>
        <v>68807077</v>
      </c>
      <c r="CS6" s="411">
        <f t="shared" si="0"/>
        <v>58106020</v>
      </c>
      <c r="CT6" s="367">
        <v>39420418</v>
      </c>
      <c r="CU6" s="368">
        <v>36426825</v>
      </c>
      <c r="CV6" s="368">
        <v>123585363</v>
      </c>
      <c r="CW6" s="409">
        <v>103898548</v>
      </c>
      <c r="CX6" s="370">
        <f>CP6+CT6</f>
        <v>63800430</v>
      </c>
      <c r="CY6" s="410">
        <f t="shared" ref="CY6:DA21" si="1">CQ6+CU6</f>
        <v>56045176</v>
      </c>
      <c r="CZ6" s="410">
        <f t="shared" si="1"/>
        <v>192392440</v>
      </c>
      <c r="DA6" s="412">
        <f t="shared" si="1"/>
        <v>162004568</v>
      </c>
    </row>
    <row r="7" spans="1:105" s="327" customFormat="1" ht="14.25" x14ac:dyDescent="0.3">
      <c r="A7" s="372" t="s">
        <v>40</v>
      </c>
      <c r="B7" s="403">
        <v>1867505</v>
      </c>
      <c r="C7" s="329">
        <v>656046</v>
      </c>
      <c r="D7" s="329">
        <v>4568171</v>
      </c>
      <c r="E7" s="330">
        <v>1375947</v>
      </c>
      <c r="F7" s="404">
        <v>27965</v>
      </c>
      <c r="G7" s="332">
        <v>142</v>
      </c>
      <c r="H7" s="332">
        <v>34969</v>
      </c>
      <c r="I7" s="337">
        <v>302</v>
      </c>
      <c r="J7" s="405">
        <v>448946</v>
      </c>
      <c r="K7" s="336">
        <v>508005</v>
      </c>
      <c r="L7" s="336">
        <v>1338593</v>
      </c>
      <c r="M7" s="337">
        <v>1402857</v>
      </c>
      <c r="N7" s="405">
        <v>3810463</v>
      </c>
      <c r="O7" s="336">
        <v>5755736</v>
      </c>
      <c r="P7" s="336">
        <v>10996503</v>
      </c>
      <c r="Q7" s="337">
        <v>11645893</v>
      </c>
      <c r="R7" s="405">
        <v>108345</v>
      </c>
      <c r="S7" s="336">
        <v>80511</v>
      </c>
      <c r="T7" s="336">
        <v>315243</v>
      </c>
      <c r="U7" s="337">
        <v>231665</v>
      </c>
      <c r="V7" s="405">
        <v>25123</v>
      </c>
      <c r="W7" s="336">
        <v>583</v>
      </c>
      <c r="X7" s="336">
        <v>38312</v>
      </c>
      <c r="Y7" s="337">
        <v>1813</v>
      </c>
      <c r="Z7" s="405">
        <v>2051</v>
      </c>
      <c r="AA7" s="336">
        <v>-297</v>
      </c>
      <c r="AB7" s="405">
        <v>2051</v>
      </c>
      <c r="AC7" s="337">
        <v>27</v>
      </c>
      <c r="AD7" s="404"/>
      <c r="AE7" s="332"/>
      <c r="AF7" s="332"/>
      <c r="AG7" s="333"/>
      <c r="AH7" s="331">
        <v>1189319</v>
      </c>
      <c r="AI7" s="332">
        <v>1066277</v>
      </c>
      <c r="AJ7" s="332">
        <v>3273841</v>
      </c>
      <c r="AK7" s="333">
        <v>2811690</v>
      </c>
      <c r="AL7" s="331">
        <v>191894</v>
      </c>
      <c r="AM7" s="332">
        <v>126771</v>
      </c>
      <c r="AN7" s="332">
        <v>402889</v>
      </c>
      <c r="AO7" s="334">
        <v>293452</v>
      </c>
      <c r="AP7" s="335">
        <v>6262631</v>
      </c>
      <c r="AQ7" s="336">
        <v>4360855</v>
      </c>
      <c r="AR7" s="336">
        <v>15057216</v>
      </c>
      <c r="AS7" s="357">
        <v>12249851</v>
      </c>
      <c r="AT7" s="331">
        <v>4614011</v>
      </c>
      <c r="AU7" s="332">
        <v>8743851</v>
      </c>
      <c r="AV7" s="332">
        <v>15217304</v>
      </c>
      <c r="AW7" s="334">
        <v>20820514</v>
      </c>
      <c r="AX7" s="338">
        <v>382792</v>
      </c>
      <c r="AY7" s="339">
        <v>47906</v>
      </c>
      <c r="AZ7" s="339">
        <v>1037924</v>
      </c>
      <c r="BA7" s="406">
        <v>89739</v>
      </c>
      <c r="BB7" s="331">
        <v>57902</v>
      </c>
      <c r="BC7" s="332">
        <v>84426</v>
      </c>
      <c r="BD7" s="332">
        <v>157404</v>
      </c>
      <c r="BE7" s="334">
        <v>213858</v>
      </c>
      <c r="BF7" s="331">
        <v>2370541</v>
      </c>
      <c r="BG7" s="332">
        <v>1651028</v>
      </c>
      <c r="BH7" s="332">
        <v>9172384</v>
      </c>
      <c r="BI7" s="334">
        <v>3812338</v>
      </c>
      <c r="BJ7" s="331">
        <v>3216031</v>
      </c>
      <c r="BK7" s="332">
        <v>2739661</v>
      </c>
      <c r="BL7" s="332">
        <v>9237957</v>
      </c>
      <c r="BM7" s="407">
        <v>6714242</v>
      </c>
      <c r="BN7" s="331">
        <v>441866</v>
      </c>
      <c r="BO7" s="332">
        <v>195009</v>
      </c>
      <c r="BP7" s="332">
        <v>954064</v>
      </c>
      <c r="BQ7" s="334">
        <v>402764</v>
      </c>
      <c r="BR7" s="331">
        <v>1632162</v>
      </c>
      <c r="BS7" s="332">
        <v>1293003</v>
      </c>
      <c r="BT7" s="332">
        <v>4525296</v>
      </c>
      <c r="BU7" s="334">
        <v>3105554</v>
      </c>
      <c r="BV7" s="341"/>
      <c r="BW7" s="332"/>
      <c r="BX7" s="332"/>
      <c r="BY7" s="334"/>
      <c r="BZ7" s="929">
        <v>4791666</v>
      </c>
      <c r="CA7" s="922">
        <v>3976058</v>
      </c>
      <c r="CB7" s="922">
        <v>9398754</v>
      </c>
      <c r="CC7" s="930">
        <v>7641202</v>
      </c>
      <c r="CD7" s="920">
        <v>72809</v>
      </c>
      <c r="CE7" s="365">
        <v>50254</v>
      </c>
      <c r="CF7" s="365">
        <v>167922</v>
      </c>
      <c r="CG7" s="408">
        <v>87269</v>
      </c>
      <c r="CH7" s="367">
        <v>753411</v>
      </c>
      <c r="CI7" s="368">
        <v>758156</v>
      </c>
      <c r="CJ7" s="368">
        <v>1589716</v>
      </c>
      <c r="CK7" s="409">
        <v>1854431</v>
      </c>
      <c r="CL7" s="335">
        <v>330242</v>
      </c>
      <c r="CM7" s="336">
        <v>424915</v>
      </c>
      <c r="CN7" s="336">
        <v>1168839</v>
      </c>
      <c r="CO7" s="357">
        <v>1099070</v>
      </c>
      <c r="CP7" s="370">
        <f t="shared" ref="CP7:CS38" si="2">SUM(B7+F7+J7+N7+R7+V7+Z7+AD7+AH7+AL7+AP7+AT7+AX7+BB7+BF7+BJ7+BN7+BR7+BV7+BZ7+CD7+CH7+CL7)</f>
        <v>32597675</v>
      </c>
      <c r="CQ7" s="410">
        <f t="shared" si="0"/>
        <v>32518896</v>
      </c>
      <c r="CR7" s="410">
        <f t="shared" si="0"/>
        <v>88655352</v>
      </c>
      <c r="CS7" s="411">
        <f t="shared" si="0"/>
        <v>75854478</v>
      </c>
      <c r="CT7" s="367">
        <v>372302811</v>
      </c>
      <c r="CU7" s="368">
        <v>269484890</v>
      </c>
      <c r="CV7" s="368">
        <v>929652258</v>
      </c>
      <c r="CW7" s="409">
        <v>689801864</v>
      </c>
      <c r="CX7" s="370">
        <f t="shared" ref="CX7:DA38" si="3">CP7+CT7</f>
        <v>404900486</v>
      </c>
      <c r="CY7" s="410">
        <f t="shared" si="1"/>
        <v>302003786</v>
      </c>
      <c r="CZ7" s="410">
        <f t="shared" si="1"/>
        <v>1018307610</v>
      </c>
      <c r="DA7" s="412">
        <f t="shared" si="1"/>
        <v>765656342</v>
      </c>
    </row>
    <row r="8" spans="1:105" s="327" customFormat="1" ht="14.25" x14ac:dyDescent="0.3">
      <c r="A8" s="372" t="s">
        <v>41</v>
      </c>
      <c r="B8" s="403">
        <v>21215</v>
      </c>
      <c r="C8" s="329">
        <v>11269</v>
      </c>
      <c r="D8" s="329">
        <v>45240</v>
      </c>
      <c r="E8" s="330">
        <v>33238</v>
      </c>
      <c r="F8" s="404">
        <v>32</v>
      </c>
      <c r="G8" s="332">
        <v>28</v>
      </c>
      <c r="H8" s="332">
        <v>119</v>
      </c>
      <c r="I8" s="337">
        <v>105</v>
      </c>
      <c r="J8" s="405">
        <v>120112</v>
      </c>
      <c r="K8" s="336">
        <v>297423</v>
      </c>
      <c r="L8" s="336">
        <v>651260</v>
      </c>
      <c r="M8" s="337">
        <v>578535</v>
      </c>
      <c r="N8" s="405">
        <v>34485</v>
      </c>
      <c r="O8" s="336">
        <v>36217</v>
      </c>
      <c r="P8" s="336">
        <v>138628</v>
      </c>
      <c r="Q8" s="337">
        <v>136686</v>
      </c>
      <c r="R8" s="405"/>
      <c r="S8" s="336"/>
      <c r="T8" s="336"/>
      <c r="U8" s="337"/>
      <c r="V8" s="405">
        <v>8705</v>
      </c>
      <c r="W8" s="336">
        <v>4766</v>
      </c>
      <c r="X8" s="336">
        <v>22533</v>
      </c>
      <c r="Y8" s="337">
        <v>18128</v>
      </c>
      <c r="Z8" s="405"/>
      <c r="AA8" s="336"/>
      <c r="AB8" s="336"/>
      <c r="AC8" s="337"/>
      <c r="AD8" s="404">
        <v>4341</v>
      </c>
      <c r="AE8" s="332">
        <v>3209</v>
      </c>
      <c r="AF8" s="332">
        <v>10585</v>
      </c>
      <c r="AG8" s="333">
        <v>7187</v>
      </c>
      <c r="AH8" s="331">
        <v>6013</v>
      </c>
      <c r="AI8" s="332">
        <v>4249</v>
      </c>
      <c r="AJ8" s="332">
        <v>18855</v>
      </c>
      <c r="AK8" s="333">
        <v>14200</v>
      </c>
      <c r="AL8" s="331">
        <v>11</v>
      </c>
      <c r="AM8" s="332">
        <v>881</v>
      </c>
      <c r="AN8" s="332">
        <v>1452</v>
      </c>
      <c r="AO8" s="334">
        <v>2692</v>
      </c>
      <c r="AP8" s="335">
        <v>382576</v>
      </c>
      <c r="AQ8" s="336">
        <v>190698</v>
      </c>
      <c r="AR8" s="336">
        <v>1012367</v>
      </c>
      <c r="AS8" s="357">
        <v>539891</v>
      </c>
      <c r="AT8" s="331">
        <v>427810</v>
      </c>
      <c r="AU8" s="332">
        <v>367755</v>
      </c>
      <c r="AV8" s="332">
        <v>1254842</v>
      </c>
      <c r="AW8" s="334">
        <v>1100590</v>
      </c>
      <c r="AX8" s="338"/>
      <c r="AY8" s="339"/>
      <c r="AZ8" s="339"/>
      <c r="BA8" s="406"/>
      <c r="BB8" s="331">
        <v>44</v>
      </c>
      <c r="BC8" s="332">
        <v>30</v>
      </c>
      <c r="BD8" s="332">
        <v>133</v>
      </c>
      <c r="BE8" s="334">
        <v>89</v>
      </c>
      <c r="BF8" s="331">
        <v>17075</v>
      </c>
      <c r="BG8" s="332">
        <v>11304</v>
      </c>
      <c r="BH8" s="332">
        <v>40727</v>
      </c>
      <c r="BI8" s="334">
        <v>25718</v>
      </c>
      <c r="BJ8" s="331">
        <v>17650</v>
      </c>
      <c r="BK8" s="332">
        <v>20601</v>
      </c>
      <c r="BL8" s="332">
        <v>50274</v>
      </c>
      <c r="BM8" s="407">
        <v>47422</v>
      </c>
      <c r="BN8" s="331">
        <v>41589</v>
      </c>
      <c r="BO8" s="332">
        <v>43107</v>
      </c>
      <c r="BP8" s="332">
        <v>167507</v>
      </c>
      <c r="BQ8" s="334">
        <v>130895</v>
      </c>
      <c r="BR8" s="331">
        <v>5529</v>
      </c>
      <c r="BS8" s="332">
        <v>3423</v>
      </c>
      <c r="BT8" s="332">
        <v>15372</v>
      </c>
      <c r="BU8" s="334">
        <v>13521</v>
      </c>
      <c r="BV8" s="341"/>
      <c r="BW8" s="332"/>
      <c r="BX8" s="332"/>
      <c r="BY8" s="334"/>
      <c r="BZ8" s="929">
        <v>471080</v>
      </c>
      <c r="CA8" s="922">
        <v>431225</v>
      </c>
      <c r="CB8" s="922">
        <v>1341624</v>
      </c>
      <c r="CC8" s="930">
        <v>1254644</v>
      </c>
      <c r="CD8" s="920">
        <v>923</v>
      </c>
      <c r="CE8" s="365">
        <v>477</v>
      </c>
      <c r="CF8" s="365">
        <v>2511</v>
      </c>
      <c r="CG8" s="408">
        <v>1194</v>
      </c>
      <c r="CH8" s="367">
        <v>23492</v>
      </c>
      <c r="CI8" s="368">
        <v>21350</v>
      </c>
      <c r="CJ8" s="368">
        <v>91274</v>
      </c>
      <c r="CK8" s="409">
        <v>84560</v>
      </c>
      <c r="CL8" s="335">
        <v>6628</v>
      </c>
      <c r="CM8" s="336">
        <v>6308</v>
      </c>
      <c r="CN8" s="336">
        <v>17508</v>
      </c>
      <c r="CO8" s="357">
        <v>17971</v>
      </c>
      <c r="CP8" s="370">
        <f t="shared" si="2"/>
        <v>1589310</v>
      </c>
      <c r="CQ8" s="410">
        <f t="shared" si="0"/>
        <v>1454320</v>
      </c>
      <c r="CR8" s="410">
        <f t="shared" si="0"/>
        <v>4882811</v>
      </c>
      <c r="CS8" s="411">
        <f t="shared" si="0"/>
        <v>4007266</v>
      </c>
      <c r="CT8" s="367">
        <v>29869538</v>
      </c>
      <c r="CU8" s="368">
        <v>23831902</v>
      </c>
      <c r="CV8" s="368">
        <v>80012030</v>
      </c>
      <c r="CW8" s="409">
        <v>64722772</v>
      </c>
      <c r="CX8" s="370">
        <f t="shared" si="3"/>
        <v>31458848</v>
      </c>
      <c r="CY8" s="410">
        <f t="shared" si="1"/>
        <v>25286222</v>
      </c>
      <c r="CZ8" s="410">
        <f t="shared" si="1"/>
        <v>84894841</v>
      </c>
      <c r="DA8" s="412">
        <f t="shared" si="1"/>
        <v>68730038</v>
      </c>
    </row>
    <row r="9" spans="1:105" s="327" customFormat="1" ht="14.25" x14ac:dyDescent="0.3">
      <c r="A9" s="372" t="s">
        <v>42</v>
      </c>
      <c r="B9" s="403"/>
      <c r="C9" s="329"/>
      <c r="D9" s="329"/>
      <c r="E9" s="330"/>
      <c r="F9" s="404"/>
      <c r="G9" s="332"/>
      <c r="H9" s="332"/>
      <c r="I9" s="337"/>
      <c r="J9" s="405"/>
      <c r="K9" s="336"/>
      <c r="L9" s="336"/>
      <c r="M9" s="337"/>
      <c r="N9" s="405"/>
      <c r="O9" s="336"/>
      <c r="P9" s="336"/>
      <c r="Q9" s="337"/>
      <c r="R9" s="405"/>
      <c r="S9" s="336"/>
      <c r="T9" s="336"/>
      <c r="U9" s="337"/>
      <c r="V9" s="405"/>
      <c r="W9" s="336"/>
      <c r="X9" s="336"/>
      <c r="Y9" s="337"/>
      <c r="Z9" s="405"/>
      <c r="AA9" s="336"/>
      <c r="AB9" s="336"/>
      <c r="AC9" s="337"/>
      <c r="AD9" s="404"/>
      <c r="AE9" s="332"/>
      <c r="AF9" s="332"/>
      <c r="AG9" s="333"/>
      <c r="AH9" s="331"/>
      <c r="AI9" s="332"/>
      <c r="AJ9" s="332"/>
      <c r="AK9" s="333"/>
      <c r="AL9" s="331"/>
      <c r="AM9" s="332"/>
      <c r="AN9" s="332"/>
      <c r="AO9" s="334"/>
      <c r="AP9" s="335"/>
      <c r="AQ9" s="358"/>
      <c r="AR9" s="358"/>
      <c r="AS9" s="357"/>
      <c r="AT9" s="331"/>
      <c r="AU9" s="332"/>
      <c r="AV9" s="332"/>
      <c r="AW9" s="334"/>
      <c r="AX9" s="338"/>
      <c r="AY9" s="339"/>
      <c r="AZ9" s="339"/>
      <c r="BA9" s="406"/>
      <c r="BB9" s="331"/>
      <c r="BC9" s="332"/>
      <c r="BD9" s="332"/>
      <c r="BE9" s="334"/>
      <c r="BF9" s="331"/>
      <c r="BG9" s="332"/>
      <c r="BH9" s="332"/>
      <c r="BI9" s="334"/>
      <c r="BJ9" s="331"/>
      <c r="BK9" s="332"/>
      <c r="BL9" s="332"/>
      <c r="BM9" s="407"/>
      <c r="BN9" s="331"/>
      <c r="BO9" s="332"/>
      <c r="BP9" s="332"/>
      <c r="BQ9" s="334"/>
      <c r="BR9" s="331"/>
      <c r="BS9" s="332"/>
      <c r="BT9" s="332"/>
      <c r="BU9" s="334"/>
      <c r="BV9" s="341"/>
      <c r="BW9" s="332"/>
      <c r="BX9" s="332"/>
      <c r="BY9" s="334"/>
      <c r="BZ9" s="335"/>
      <c r="CA9" s="336"/>
      <c r="CB9" s="336"/>
      <c r="CC9" s="337"/>
      <c r="CD9" s="920"/>
      <c r="CE9" s="365"/>
      <c r="CF9" s="365"/>
      <c r="CG9" s="408"/>
      <c r="CH9" s="367"/>
      <c r="CI9" s="368"/>
      <c r="CJ9" s="368"/>
      <c r="CK9" s="409"/>
      <c r="CL9" s="335"/>
      <c r="CM9" s="336"/>
      <c r="CN9" s="336"/>
      <c r="CO9" s="357"/>
      <c r="CP9" s="370"/>
      <c r="CQ9" s="410"/>
      <c r="CR9" s="410"/>
      <c r="CS9" s="411"/>
      <c r="CT9" s="367"/>
      <c r="CU9" s="368"/>
      <c r="CV9" s="368"/>
      <c r="CW9" s="409"/>
      <c r="CX9" s="370"/>
      <c r="CY9" s="410"/>
      <c r="CZ9" s="410"/>
      <c r="DA9" s="412"/>
    </row>
    <row r="10" spans="1:105" s="327" customFormat="1" ht="14.25" x14ac:dyDescent="0.3">
      <c r="A10" s="372" t="s">
        <v>43</v>
      </c>
      <c r="B10" s="415">
        <v>77250</v>
      </c>
      <c r="C10" s="416">
        <v>167505</v>
      </c>
      <c r="D10" s="416">
        <v>398612</v>
      </c>
      <c r="E10" s="417">
        <v>428182</v>
      </c>
      <c r="F10" s="418">
        <v>145255</v>
      </c>
      <c r="G10" s="353">
        <v>69807</v>
      </c>
      <c r="H10" s="353">
        <v>242449</v>
      </c>
      <c r="I10" s="375">
        <v>79881</v>
      </c>
      <c r="J10" s="410">
        <v>65064</v>
      </c>
      <c r="K10" s="374">
        <v>142987</v>
      </c>
      <c r="L10" s="374">
        <v>227862</v>
      </c>
      <c r="M10" s="375">
        <v>497454</v>
      </c>
      <c r="N10" s="410">
        <v>644096</v>
      </c>
      <c r="O10" s="374">
        <v>797589</v>
      </c>
      <c r="P10" s="374">
        <v>1723458</v>
      </c>
      <c r="Q10" s="375">
        <v>2148975</v>
      </c>
      <c r="R10" s="410">
        <v>48225</v>
      </c>
      <c r="S10" s="374">
        <v>29539</v>
      </c>
      <c r="T10" s="374">
        <v>110784</v>
      </c>
      <c r="U10" s="375">
        <v>63190</v>
      </c>
      <c r="V10" s="410">
        <v>84431</v>
      </c>
      <c r="W10" s="374">
        <v>767</v>
      </c>
      <c r="X10" s="374">
        <v>243265</v>
      </c>
      <c r="Y10" s="375">
        <v>767</v>
      </c>
      <c r="Z10" s="410">
        <v>14070</v>
      </c>
      <c r="AA10" s="374">
        <v>4675</v>
      </c>
      <c r="AB10" s="374">
        <v>30101</v>
      </c>
      <c r="AC10" s="375">
        <v>31658</v>
      </c>
      <c r="AD10" s="418">
        <v>19772</v>
      </c>
      <c r="AE10" s="353">
        <v>36012</v>
      </c>
      <c r="AF10" s="353">
        <v>50601</v>
      </c>
      <c r="AG10" s="419">
        <v>96337</v>
      </c>
      <c r="AH10" s="349"/>
      <c r="AI10" s="353"/>
      <c r="AJ10" s="353"/>
      <c r="AK10" s="419"/>
      <c r="AL10" s="349"/>
      <c r="AM10" s="353"/>
      <c r="AN10" s="353"/>
      <c r="AO10" s="350"/>
      <c r="AP10" s="335">
        <v>153956</v>
      </c>
      <c r="AQ10" s="374">
        <v>314593</v>
      </c>
      <c r="AR10" s="374">
        <v>244673</v>
      </c>
      <c r="AS10" s="376">
        <v>634270</v>
      </c>
      <c r="AT10" s="349">
        <v>675899</v>
      </c>
      <c r="AU10" s="353">
        <v>536287</v>
      </c>
      <c r="AV10" s="353">
        <v>1780234</v>
      </c>
      <c r="AW10" s="350">
        <v>1492419</v>
      </c>
      <c r="AX10" s="338">
        <v>315004</v>
      </c>
      <c r="AY10" s="339">
        <v>192799</v>
      </c>
      <c r="AZ10" s="339">
        <v>763292</v>
      </c>
      <c r="BA10" s="406">
        <v>447906</v>
      </c>
      <c r="BB10" s="349">
        <v>36919</v>
      </c>
      <c r="BC10" s="353"/>
      <c r="BD10" s="353">
        <v>65031</v>
      </c>
      <c r="BE10" s="350"/>
      <c r="BF10" s="420">
        <v>96520</v>
      </c>
      <c r="BG10" s="421">
        <v>76594</v>
      </c>
      <c r="BH10" s="421">
        <v>275338</v>
      </c>
      <c r="BI10" s="422">
        <v>224773</v>
      </c>
      <c r="BJ10" s="349">
        <v>366947</v>
      </c>
      <c r="BK10" s="353">
        <v>169451</v>
      </c>
      <c r="BL10" s="353">
        <v>710795</v>
      </c>
      <c r="BM10" s="407">
        <v>379327</v>
      </c>
      <c r="BN10" s="349">
        <v>545233</v>
      </c>
      <c r="BO10" s="353">
        <v>382216</v>
      </c>
      <c r="BP10" s="353">
        <v>1361763</v>
      </c>
      <c r="BQ10" s="350">
        <v>819763</v>
      </c>
      <c r="BR10" s="349">
        <v>1220752</v>
      </c>
      <c r="BS10" s="353">
        <v>1706392</v>
      </c>
      <c r="BT10" s="353">
        <v>3354085</v>
      </c>
      <c r="BU10" s="350">
        <v>3857146</v>
      </c>
      <c r="BV10" s="341"/>
      <c r="BW10" s="332"/>
      <c r="BX10" s="332"/>
      <c r="BY10" s="334"/>
      <c r="BZ10" s="929">
        <v>2146608</v>
      </c>
      <c r="CA10" s="922">
        <v>2256787</v>
      </c>
      <c r="CB10" s="922">
        <v>5029793</v>
      </c>
      <c r="CC10" s="930">
        <v>6333096</v>
      </c>
      <c r="CD10" s="920">
        <v>185795</v>
      </c>
      <c r="CE10" s="365">
        <v>98114</v>
      </c>
      <c r="CF10" s="365">
        <v>461939</v>
      </c>
      <c r="CG10" s="408">
        <v>265090</v>
      </c>
      <c r="CH10" s="367">
        <v>64031</v>
      </c>
      <c r="CI10" s="368"/>
      <c r="CJ10" s="368">
        <v>161561</v>
      </c>
      <c r="CK10" s="409"/>
      <c r="CL10" s="370">
        <v>1254750</v>
      </c>
      <c r="CM10" s="374">
        <v>1111591</v>
      </c>
      <c r="CN10" s="374">
        <v>3440635</v>
      </c>
      <c r="CO10" s="376">
        <v>2990409</v>
      </c>
      <c r="CP10" s="370">
        <f t="shared" si="2"/>
        <v>8160577</v>
      </c>
      <c r="CQ10" s="410">
        <f t="shared" si="0"/>
        <v>8093705</v>
      </c>
      <c r="CR10" s="410">
        <f t="shared" si="0"/>
        <v>20676271</v>
      </c>
      <c r="CS10" s="411">
        <f t="shared" si="0"/>
        <v>20790643</v>
      </c>
      <c r="CT10" s="370"/>
      <c r="CU10" s="374"/>
      <c r="CV10" s="374"/>
      <c r="CW10" s="376"/>
      <c r="CX10" s="370">
        <f t="shared" si="3"/>
        <v>8160577</v>
      </c>
      <c r="CY10" s="410">
        <f t="shared" si="1"/>
        <v>8093705</v>
      </c>
      <c r="CZ10" s="410">
        <f t="shared" si="1"/>
        <v>20676271</v>
      </c>
      <c r="DA10" s="412">
        <f t="shared" si="1"/>
        <v>20790643</v>
      </c>
    </row>
    <row r="11" spans="1:105" s="327" customFormat="1" ht="14.25" x14ac:dyDescent="0.3">
      <c r="A11" s="372" t="s">
        <v>44</v>
      </c>
      <c r="B11" s="403">
        <v>8819674</v>
      </c>
      <c r="C11" s="329">
        <v>9548971</v>
      </c>
      <c r="D11" s="329">
        <v>30143012</v>
      </c>
      <c r="E11" s="330">
        <v>32944960</v>
      </c>
      <c r="F11" s="404">
        <v>386514</v>
      </c>
      <c r="G11" s="332">
        <v>634160</v>
      </c>
      <c r="H11" s="332">
        <v>1385024</v>
      </c>
      <c r="I11" s="337">
        <v>1984224</v>
      </c>
      <c r="J11" s="405">
        <v>1930055</v>
      </c>
      <c r="K11" s="336">
        <v>2585857</v>
      </c>
      <c r="L11" s="336">
        <v>5551901</v>
      </c>
      <c r="M11" s="337">
        <v>8354850</v>
      </c>
      <c r="N11" s="405">
        <v>5492762</v>
      </c>
      <c r="O11" s="336">
        <v>9713606</v>
      </c>
      <c r="P11" s="336">
        <v>17273072</v>
      </c>
      <c r="Q11" s="337">
        <v>34292855</v>
      </c>
      <c r="R11" s="405">
        <v>551771</v>
      </c>
      <c r="S11" s="336">
        <v>992615</v>
      </c>
      <c r="T11" s="336">
        <v>2190174</v>
      </c>
      <c r="U11" s="337">
        <v>3247129</v>
      </c>
      <c r="V11" s="405">
        <v>1713135</v>
      </c>
      <c r="W11" s="336">
        <v>2998939</v>
      </c>
      <c r="X11" s="336">
        <v>6477007</v>
      </c>
      <c r="Y11" s="337">
        <v>9680751</v>
      </c>
      <c r="Z11" s="405">
        <v>294532</v>
      </c>
      <c r="AA11" s="336">
        <v>249145</v>
      </c>
      <c r="AB11" s="336">
        <v>892874</v>
      </c>
      <c r="AC11" s="337">
        <v>877155</v>
      </c>
      <c r="AD11" s="404">
        <v>23889</v>
      </c>
      <c r="AE11" s="332">
        <v>27749</v>
      </c>
      <c r="AF11" s="332">
        <v>92868</v>
      </c>
      <c r="AG11" s="333">
        <v>95657</v>
      </c>
      <c r="AH11" s="331"/>
      <c r="AI11" s="332"/>
      <c r="AJ11" s="332"/>
      <c r="AK11" s="333"/>
      <c r="AL11" s="331">
        <v>352469</v>
      </c>
      <c r="AM11" s="332">
        <v>390573</v>
      </c>
      <c r="AN11" s="332">
        <v>1155342</v>
      </c>
      <c r="AO11" s="334">
        <v>1422165</v>
      </c>
      <c r="AP11" s="335">
        <v>11609455</v>
      </c>
      <c r="AQ11" s="336">
        <v>17893681</v>
      </c>
      <c r="AR11" s="336">
        <v>41971162</v>
      </c>
      <c r="AS11" s="357">
        <v>49841903</v>
      </c>
      <c r="AT11" s="331">
        <v>25056528</v>
      </c>
      <c r="AU11" s="332">
        <v>35068648</v>
      </c>
      <c r="AV11" s="332">
        <v>72482684</v>
      </c>
      <c r="AW11" s="334">
        <v>98017451</v>
      </c>
      <c r="AX11" s="331">
        <v>448264</v>
      </c>
      <c r="AY11" s="332">
        <v>613566</v>
      </c>
      <c r="AZ11" s="332">
        <v>1415978</v>
      </c>
      <c r="BA11" s="334">
        <v>2485651</v>
      </c>
      <c r="BB11" s="331">
        <v>1286333</v>
      </c>
      <c r="BC11" s="332">
        <v>1288557</v>
      </c>
      <c r="BD11" s="332">
        <v>6262862</v>
      </c>
      <c r="BE11" s="334">
        <v>4764779</v>
      </c>
      <c r="BF11" s="331">
        <v>1891267</v>
      </c>
      <c r="BG11" s="332">
        <v>3032171</v>
      </c>
      <c r="BH11" s="332">
        <v>7221215</v>
      </c>
      <c r="BI11" s="334">
        <v>10203499</v>
      </c>
      <c r="BJ11" s="331">
        <v>5940907</v>
      </c>
      <c r="BK11" s="332">
        <v>6291039</v>
      </c>
      <c r="BL11" s="332">
        <v>17794266</v>
      </c>
      <c r="BM11" s="407">
        <v>18824632</v>
      </c>
      <c r="BN11" s="331">
        <v>2540243</v>
      </c>
      <c r="BO11" s="332">
        <v>3601362</v>
      </c>
      <c r="BP11" s="332">
        <v>9199687</v>
      </c>
      <c r="BQ11" s="334">
        <v>11213312</v>
      </c>
      <c r="BR11" s="331">
        <v>2521316</v>
      </c>
      <c r="BS11" s="332">
        <v>4089065</v>
      </c>
      <c r="BT11" s="332">
        <v>10447774</v>
      </c>
      <c r="BU11" s="334">
        <v>12409182</v>
      </c>
      <c r="BV11" s="341"/>
      <c r="BW11" s="332"/>
      <c r="BX11" s="332"/>
      <c r="BY11" s="334"/>
      <c r="BZ11" s="929">
        <v>10308138</v>
      </c>
      <c r="CA11" s="922">
        <v>10483477</v>
      </c>
      <c r="CB11" s="922">
        <v>29114599</v>
      </c>
      <c r="CC11" s="930">
        <v>31406608</v>
      </c>
      <c r="CD11" s="920">
        <v>653700</v>
      </c>
      <c r="CE11" s="365">
        <v>624535</v>
      </c>
      <c r="CF11" s="365">
        <v>1524417</v>
      </c>
      <c r="CG11" s="408">
        <v>2244016</v>
      </c>
      <c r="CH11" s="367">
        <v>1216332</v>
      </c>
      <c r="CI11" s="368">
        <v>1299974</v>
      </c>
      <c r="CJ11" s="368">
        <v>3522110</v>
      </c>
      <c r="CK11" s="409">
        <v>3840309</v>
      </c>
      <c r="CL11" s="335">
        <v>1582696</v>
      </c>
      <c r="CM11" s="336">
        <v>2820189</v>
      </c>
      <c r="CN11" s="336">
        <v>6058562</v>
      </c>
      <c r="CO11" s="357">
        <v>10546135</v>
      </c>
      <c r="CP11" s="370">
        <f t="shared" si="2"/>
        <v>84619980</v>
      </c>
      <c r="CQ11" s="410">
        <f t="shared" si="0"/>
        <v>114247879</v>
      </c>
      <c r="CR11" s="410">
        <f t="shared" si="0"/>
        <v>272176590</v>
      </c>
      <c r="CS11" s="411">
        <f t="shared" si="0"/>
        <v>348697223</v>
      </c>
      <c r="CT11" s="367">
        <v>156494677</v>
      </c>
      <c r="CU11" s="368">
        <v>124139231</v>
      </c>
      <c r="CV11" s="368">
        <v>485626876</v>
      </c>
      <c r="CW11" s="409">
        <v>350215380</v>
      </c>
      <c r="CX11" s="370">
        <f t="shared" si="3"/>
        <v>241114657</v>
      </c>
      <c r="CY11" s="410">
        <f t="shared" si="1"/>
        <v>238387110</v>
      </c>
      <c r="CZ11" s="410">
        <f t="shared" si="1"/>
        <v>757803466</v>
      </c>
      <c r="DA11" s="412">
        <f t="shared" si="1"/>
        <v>698912603</v>
      </c>
    </row>
    <row r="12" spans="1:105" s="327" customFormat="1" ht="14.25" x14ac:dyDescent="0.3">
      <c r="A12" s="372" t="s">
        <v>45</v>
      </c>
      <c r="B12" s="403"/>
      <c r="C12" s="329"/>
      <c r="D12" s="329"/>
      <c r="E12" s="330"/>
      <c r="F12" s="404"/>
      <c r="G12" s="332"/>
      <c r="H12" s="332"/>
      <c r="I12" s="337"/>
      <c r="J12" s="405"/>
      <c r="K12" s="336"/>
      <c r="L12" s="336"/>
      <c r="M12" s="337"/>
      <c r="N12" s="405"/>
      <c r="O12" s="336"/>
      <c r="P12" s="336"/>
      <c r="Q12" s="337"/>
      <c r="R12" s="405"/>
      <c r="S12" s="336"/>
      <c r="T12" s="336"/>
      <c r="U12" s="337"/>
      <c r="V12" s="405"/>
      <c r="W12" s="336"/>
      <c r="X12" s="336"/>
      <c r="Y12" s="337"/>
      <c r="Z12" s="405"/>
      <c r="AA12" s="336"/>
      <c r="AB12" s="336"/>
      <c r="AC12" s="337"/>
      <c r="AD12" s="404"/>
      <c r="AE12" s="332"/>
      <c r="AF12" s="332"/>
      <c r="AG12" s="333"/>
      <c r="AH12" s="331"/>
      <c r="AI12" s="332"/>
      <c r="AJ12" s="332"/>
      <c r="AK12" s="333"/>
      <c r="AL12" s="331"/>
      <c r="AM12" s="332"/>
      <c r="AN12" s="332"/>
      <c r="AO12" s="334"/>
      <c r="AP12" s="335">
        <v>2801128</v>
      </c>
      <c r="AQ12" s="336">
        <v>2778432</v>
      </c>
      <c r="AR12" s="336">
        <v>6637686</v>
      </c>
      <c r="AS12" s="357">
        <v>6614087</v>
      </c>
      <c r="AT12" s="331"/>
      <c r="AU12" s="332"/>
      <c r="AV12" s="332"/>
      <c r="AW12" s="334"/>
      <c r="AX12" s="331"/>
      <c r="AY12" s="332"/>
      <c r="AZ12" s="332"/>
      <c r="BA12" s="334"/>
      <c r="BB12" s="331"/>
      <c r="BC12" s="332"/>
      <c r="BD12" s="332"/>
      <c r="BE12" s="334"/>
      <c r="BF12" s="331">
        <v>91935</v>
      </c>
      <c r="BG12" s="332">
        <v>138769</v>
      </c>
      <c r="BH12" s="332">
        <v>277617</v>
      </c>
      <c r="BI12" s="334">
        <v>464051</v>
      </c>
      <c r="BJ12" s="331"/>
      <c r="BK12" s="332"/>
      <c r="BL12" s="332"/>
      <c r="BM12" s="407"/>
      <c r="BN12" s="331"/>
      <c r="BO12" s="332"/>
      <c r="BP12" s="332"/>
      <c r="BQ12" s="334"/>
      <c r="BR12" s="331"/>
      <c r="BS12" s="332"/>
      <c r="BT12" s="332"/>
      <c r="BU12" s="334"/>
      <c r="BV12" s="341"/>
      <c r="BW12" s="332"/>
      <c r="BX12" s="332"/>
      <c r="BY12" s="334"/>
      <c r="BZ12" s="929">
        <v>3431755</v>
      </c>
      <c r="CA12" s="922">
        <v>4972497</v>
      </c>
      <c r="CB12" s="922">
        <v>6986714</v>
      </c>
      <c r="CC12" s="930">
        <v>9384127</v>
      </c>
      <c r="CD12" s="920"/>
      <c r="CE12" s="365"/>
      <c r="CF12" s="365"/>
      <c r="CG12" s="408"/>
      <c r="CH12" s="367"/>
      <c r="CI12" s="368"/>
      <c r="CJ12" s="368"/>
      <c r="CK12" s="409"/>
      <c r="CL12" s="335"/>
      <c r="CM12" s="336"/>
      <c r="CN12" s="336"/>
      <c r="CO12" s="357"/>
      <c r="CP12" s="370">
        <f t="shared" si="2"/>
        <v>6324818</v>
      </c>
      <c r="CQ12" s="410">
        <f t="shared" si="0"/>
        <v>7889698</v>
      </c>
      <c r="CR12" s="410">
        <f t="shared" si="0"/>
        <v>13902017</v>
      </c>
      <c r="CS12" s="411">
        <f t="shared" si="0"/>
        <v>16462265</v>
      </c>
      <c r="CT12" s="367"/>
      <c r="CU12" s="368"/>
      <c r="CV12" s="368"/>
      <c r="CW12" s="409"/>
      <c r="CX12" s="370">
        <f t="shared" si="3"/>
        <v>6324818</v>
      </c>
      <c r="CY12" s="410">
        <f t="shared" si="1"/>
        <v>7889698</v>
      </c>
      <c r="CZ12" s="410">
        <f t="shared" si="1"/>
        <v>13902017</v>
      </c>
      <c r="DA12" s="412">
        <f t="shared" si="1"/>
        <v>16462265</v>
      </c>
    </row>
    <row r="13" spans="1:105" s="327" customFormat="1" ht="14.25" x14ac:dyDescent="0.3">
      <c r="A13" s="372" t="s">
        <v>46</v>
      </c>
      <c r="B13" s="403"/>
      <c r="C13" s="329"/>
      <c r="D13" s="329"/>
      <c r="E13" s="330"/>
      <c r="F13" s="404">
        <v>13917</v>
      </c>
      <c r="G13" s="332">
        <v>-8025</v>
      </c>
      <c r="H13" s="332">
        <v>41653</v>
      </c>
      <c r="I13" s="337">
        <v>83175</v>
      </c>
      <c r="J13" s="405"/>
      <c r="K13" s="336"/>
      <c r="L13" s="336"/>
      <c r="M13" s="337"/>
      <c r="N13" s="405"/>
      <c r="O13" s="336"/>
      <c r="P13" s="336"/>
      <c r="Q13" s="337"/>
      <c r="R13" s="405"/>
      <c r="S13" s="336"/>
      <c r="T13" s="336"/>
      <c r="U13" s="337"/>
      <c r="V13" s="405">
        <v>996963</v>
      </c>
      <c r="W13" s="336">
        <v>812928</v>
      </c>
      <c r="X13" s="336">
        <v>4151091</v>
      </c>
      <c r="Y13" s="337">
        <v>3489405</v>
      </c>
      <c r="Z13" s="405"/>
      <c r="AA13" s="336"/>
      <c r="AB13" s="336"/>
      <c r="AC13" s="337"/>
      <c r="AD13" s="404">
        <v>19881</v>
      </c>
      <c r="AE13" s="332">
        <v>20091</v>
      </c>
      <c r="AF13" s="332">
        <v>51322</v>
      </c>
      <c r="AG13" s="333">
        <v>48607</v>
      </c>
      <c r="AH13" s="331"/>
      <c r="AI13" s="332"/>
      <c r="AJ13" s="332"/>
      <c r="AK13" s="333"/>
      <c r="AL13" s="331"/>
      <c r="AM13" s="332"/>
      <c r="AN13" s="332"/>
      <c r="AO13" s="334"/>
      <c r="AP13" s="335">
        <v>3071249</v>
      </c>
      <c r="AQ13" s="336">
        <v>2452486</v>
      </c>
      <c r="AR13" s="336">
        <v>13330812</v>
      </c>
      <c r="AS13" s="357">
        <v>7806141</v>
      </c>
      <c r="AT13" s="331"/>
      <c r="AU13" s="332"/>
      <c r="AV13" s="332"/>
      <c r="AW13" s="334"/>
      <c r="AX13" s="331"/>
      <c r="AY13" s="332"/>
      <c r="AZ13" s="332"/>
      <c r="BA13" s="334"/>
      <c r="BB13" s="331"/>
      <c r="BC13" s="332"/>
      <c r="BD13" s="332"/>
      <c r="BE13" s="334"/>
      <c r="BF13" s="331"/>
      <c r="BG13" s="332"/>
      <c r="BH13" s="332"/>
      <c r="BI13" s="334"/>
      <c r="BJ13" s="331"/>
      <c r="BK13" s="332"/>
      <c r="BL13" s="332"/>
      <c r="BM13" s="407"/>
      <c r="BN13" s="331"/>
      <c r="BO13" s="332"/>
      <c r="BP13" s="332"/>
      <c r="BQ13" s="334"/>
      <c r="BR13" s="331"/>
      <c r="BS13" s="332"/>
      <c r="BT13" s="332"/>
      <c r="BU13" s="334"/>
      <c r="BV13" s="341"/>
      <c r="BW13" s="332"/>
      <c r="BX13" s="332"/>
      <c r="BY13" s="334"/>
      <c r="BZ13" s="929">
        <v>7921601</v>
      </c>
      <c r="CA13" s="922">
        <v>4073987</v>
      </c>
      <c r="CB13" s="922">
        <v>19115675</v>
      </c>
      <c r="CC13" s="930">
        <v>17155431</v>
      </c>
      <c r="CD13" s="920">
        <v>6047</v>
      </c>
      <c r="CE13" s="365">
        <v>3792</v>
      </c>
      <c r="CF13" s="365">
        <v>8086</v>
      </c>
      <c r="CG13" s="408">
        <v>15598</v>
      </c>
      <c r="CH13" s="367"/>
      <c r="CI13" s="368"/>
      <c r="CJ13" s="368"/>
      <c r="CK13" s="409"/>
      <c r="CL13" s="335"/>
      <c r="CM13" s="336"/>
      <c r="CN13" s="336"/>
      <c r="CO13" s="357"/>
      <c r="CP13" s="370">
        <f t="shared" si="2"/>
        <v>12029658</v>
      </c>
      <c r="CQ13" s="410">
        <f t="shared" si="0"/>
        <v>7355259</v>
      </c>
      <c r="CR13" s="410">
        <f t="shared" si="0"/>
        <v>36698639</v>
      </c>
      <c r="CS13" s="411">
        <f t="shared" si="0"/>
        <v>28598357</v>
      </c>
      <c r="CT13" s="367"/>
      <c r="CU13" s="368"/>
      <c r="CV13" s="368"/>
      <c r="CW13" s="409"/>
      <c r="CX13" s="370">
        <f t="shared" si="3"/>
        <v>12029658</v>
      </c>
      <c r="CY13" s="410">
        <f t="shared" si="1"/>
        <v>7355259</v>
      </c>
      <c r="CZ13" s="410">
        <f t="shared" si="1"/>
        <v>36698639</v>
      </c>
      <c r="DA13" s="412">
        <f t="shared" si="1"/>
        <v>28598357</v>
      </c>
    </row>
    <row r="14" spans="1:105" s="327" customFormat="1" ht="14.25" x14ac:dyDescent="0.3">
      <c r="A14" s="372" t="s">
        <v>47</v>
      </c>
      <c r="B14" s="415">
        <v>17260</v>
      </c>
      <c r="C14" s="416">
        <v>7682</v>
      </c>
      <c r="D14" s="416">
        <v>73244</v>
      </c>
      <c r="E14" s="417">
        <v>45227</v>
      </c>
      <c r="F14" s="418">
        <v>9079</v>
      </c>
      <c r="G14" s="353">
        <v>243</v>
      </c>
      <c r="H14" s="353">
        <v>37222</v>
      </c>
      <c r="I14" s="375">
        <v>11003</v>
      </c>
      <c r="J14" s="410">
        <v>-393</v>
      </c>
      <c r="K14" s="374">
        <v>2664</v>
      </c>
      <c r="L14" s="374">
        <v>7513</v>
      </c>
      <c r="M14" s="375">
        <v>5864</v>
      </c>
      <c r="N14" s="410">
        <v>41689</v>
      </c>
      <c r="O14" s="374">
        <v>33927</v>
      </c>
      <c r="P14" s="374">
        <v>148207</v>
      </c>
      <c r="Q14" s="375">
        <v>47316</v>
      </c>
      <c r="R14" s="410">
        <v>6238</v>
      </c>
      <c r="S14" s="374">
        <v>4809</v>
      </c>
      <c r="T14" s="374">
        <v>17177</v>
      </c>
      <c r="U14" s="375">
        <v>15865</v>
      </c>
      <c r="V14" s="410"/>
      <c r="W14" s="374"/>
      <c r="X14" s="374"/>
      <c r="Y14" s="375"/>
      <c r="Z14" s="410"/>
      <c r="AA14" s="374"/>
      <c r="AB14" s="374"/>
      <c r="AC14" s="375">
        <v>52</v>
      </c>
      <c r="AD14" s="418"/>
      <c r="AE14" s="353"/>
      <c r="AF14" s="353"/>
      <c r="AG14" s="419"/>
      <c r="AH14" s="349"/>
      <c r="AI14" s="353"/>
      <c r="AJ14" s="353"/>
      <c r="AK14" s="419"/>
      <c r="AL14" s="349"/>
      <c r="AM14" s="353"/>
      <c r="AN14" s="353"/>
      <c r="AO14" s="350"/>
      <c r="AP14" s="370"/>
      <c r="AQ14" s="374"/>
      <c r="AR14" s="374"/>
      <c r="AS14" s="376"/>
      <c r="AT14" s="349">
        <v>-21072</v>
      </c>
      <c r="AU14" s="353">
        <v>22773</v>
      </c>
      <c r="AV14" s="353">
        <v>52132</v>
      </c>
      <c r="AW14" s="350">
        <v>90038</v>
      </c>
      <c r="AX14" s="338">
        <v>1698</v>
      </c>
      <c r="AY14" s="339">
        <v>6910</v>
      </c>
      <c r="AZ14" s="339">
        <v>6810</v>
      </c>
      <c r="BA14" s="406">
        <v>12600</v>
      </c>
      <c r="BB14" s="349"/>
      <c r="BC14" s="353"/>
      <c r="BD14" s="353"/>
      <c r="BE14" s="350"/>
      <c r="BF14" s="420">
        <v>2434</v>
      </c>
      <c r="BG14" s="421">
        <v>1126</v>
      </c>
      <c r="BH14" s="421">
        <v>6140</v>
      </c>
      <c r="BI14" s="422">
        <v>3612</v>
      </c>
      <c r="BJ14" s="349"/>
      <c r="BK14" s="353"/>
      <c r="BL14" s="353"/>
      <c r="BM14" s="407"/>
      <c r="BN14" s="349"/>
      <c r="BO14" s="353"/>
      <c r="BP14" s="353"/>
      <c r="BQ14" s="350"/>
      <c r="BR14" s="349">
        <v>169</v>
      </c>
      <c r="BS14" s="353">
        <v>580</v>
      </c>
      <c r="BT14" s="353">
        <v>1639</v>
      </c>
      <c r="BU14" s="350">
        <v>1930</v>
      </c>
      <c r="BV14" s="341"/>
      <c r="BW14" s="332"/>
      <c r="BX14" s="332"/>
      <c r="BY14" s="334"/>
      <c r="BZ14" s="929">
        <v>36016</v>
      </c>
      <c r="CA14" s="922">
        <v>13898</v>
      </c>
      <c r="CB14" s="922">
        <v>84674</v>
      </c>
      <c r="CC14" s="930">
        <v>34974</v>
      </c>
      <c r="CD14" s="920"/>
      <c r="CE14" s="365"/>
      <c r="CF14" s="365"/>
      <c r="CG14" s="408"/>
      <c r="CH14" s="367"/>
      <c r="CI14" s="368"/>
      <c r="CJ14" s="368">
        <v>250</v>
      </c>
      <c r="CK14" s="409"/>
      <c r="CL14" s="370"/>
      <c r="CM14" s="374"/>
      <c r="CN14" s="374"/>
      <c r="CO14" s="376"/>
      <c r="CP14" s="370">
        <f t="shared" si="2"/>
        <v>93118</v>
      </c>
      <c r="CQ14" s="410">
        <f t="shared" si="0"/>
        <v>94612</v>
      </c>
      <c r="CR14" s="410">
        <f t="shared" si="0"/>
        <v>435008</v>
      </c>
      <c r="CS14" s="411">
        <f t="shared" si="0"/>
        <v>268481</v>
      </c>
      <c r="CT14" s="370"/>
      <c r="CU14" s="374"/>
      <c r="CV14" s="374"/>
      <c r="CW14" s="376"/>
      <c r="CX14" s="370">
        <f t="shared" si="3"/>
        <v>93118</v>
      </c>
      <c r="CY14" s="410">
        <f t="shared" si="1"/>
        <v>94612</v>
      </c>
      <c r="CZ14" s="410">
        <f t="shared" si="1"/>
        <v>435008</v>
      </c>
      <c r="DA14" s="412">
        <f t="shared" si="1"/>
        <v>268481</v>
      </c>
    </row>
    <row r="15" spans="1:105" s="327" customFormat="1" ht="14.25" x14ac:dyDescent="0.3">
      <c r="A15" s="372" t="s">
        <v>48</v>
      </c>
      <c r="B15" s="403">
        <v>114</v>
      </c>
      <c r="C15" s="329">
        <v>3420</v>
      </c>
      <c r="D15" s="329">
        <v>4056</v>
      </c>
      <c r="E15" s="330">
        <v>13534</v>
      </c>
      <c r="F15" s="404">
        <v>2382</v>
      </c>
      <c r="G15" s="332">
        <v>398</v>
      </c>
      <c r="H15" s="332">
        <v>8258</v>
      </c>
      <c r="I15" s="337">
        <v>8612</v>
      </c>
      <c r="J15" s="405">
        <v>6850</v>
      </c>
      <c r="K15" s="336">
        <v>2000</v>
      </c>
      <c r="L15" s="336">
        <v>12350</v>
      </c>
      <c r="M15" s="337">
        <v>11002</v>
      </c>
      <c r="N15" s="405">
        <v>15560</v>
      </c>
      <c r="O15" s="336">
        <v>24023</v>
      </c>
      <c r="P15" s="336">
        <v>53614</v>
      </c>
      <c r="Q15" s="337">
        <v>73360</v>
      </c>
      <c r="R15" s="405">
        <v>4693</v>
      </c>
      <c r="S15" s="336">
        <v>8231</v>
      </c>
      <c r="T15" s="336">
        <v>32373</v>
      </c>
      <c r="U15" s="337">
        <v>18939</v>
      </c>
      <c r="V15" s="405"/>
      <c r="W15" s="336"/>
      <c r="X15" s="336"/>
      <c r="Y15" s="337"/>
      <c r="Z15" s="405">
        <v>3798</v>
      </c>
      <c r="AA15" s="336">
        <v>1640</v>
      </c>
      <c r="AB15" s="336">
        <v>5528</v>
      </c>
      <c r="AC15" s="337">
        <v>1960</v>
      </c>
      <c r="AD15" s="404">
        <v>3749</v>
      </c>
      <c r="AE15" s="332">
        <v>76</v>
      </c>
      <c r="AF15" s="332">
        <v>5578</v>
      </c>
      <c r="AG15" s="333">
        <v>578</v>
      </c>
      <c r="AH15" s="331"/>
      <c r="AI15" s="332"/>
      <c r="AJ15" s="332"/>
      <c r="AK15" s="333"/>
      <c r="AL15" s="331"/>
      <c r="AM15" s="332"/>
      <c r="AN15" s="332"/>
      <c r="AO15" s="334"/>
      <c r="AP15" s="335">
        <v>57886</v>
      </c>
      <c r="AQ15" s="336">
        <v>35267</v>
      </c>
      <c r="AR15" s="336">
        <v>225545</v>
      </c>
      <c r="AS15" s="357">
        <v>184296</v>
      </c>
      <c r="AT15" s="331">
        <v>253914</v>
      </c>
      <c r="AU15" s="332">
        <v>218156</v>
      </c>
      <c r="AV15" s="332">
        <v>731418</v>
      </c>
      <c r="AW15" s="334">
        <v>615674</v>
      </c>
      <c r="AX15" s="338"/>
      <c r="AY15" s="339"/>
      <c r="AZ15" s="339"/>
      <c r="BA15" s="406"/>
      <c r="BB15" s="331">
        <v>3963</v>
      </c>
      <c r="BC15" s="332">
        <v>5266</v>
      </c>
      <c r="BD15" s="332">
        <v>14696</v>
      </c>
      <c r="BE15" s="334">
        <v>14849</v>
      </c>
      <c r="BF15" s="331"/>
      <c r="BG15" s="332"/>
      <c r="BH15" s="332"/>
      <c r="BI15" s="334"/>
      <c r="BJ15" s="331">
        <v>5739</v>
      </c>
      <c r="BK15" s="332">
        <v>13970</v>
      </c>
      <c r="BL15" s="332">
        <v>32258</v>
      </c>
      <c r="BM15" s="407">
        <v>29079</v>
      </c>
      <c r="BN15" s="331">
        <v>18064</v>
      </c>
      <c r="BO15" s="332">
        <v>27284</v>
      </c>
      <c r="BP15" s="332">
        <v>47559</v>
      </c>
      <c r="BQ15" s="334">
        <v>43925</v>
      </c>
      <c r="BR15" s="331">
        <v>3459</v>
      </c>
      <c r="BS15" s="332">
        <v>4432</v>
      </c>
      <c r="BT15" s="332">
        <v>10832</v>
      </c>
      <c r="BU15" s="334">
        <v>16873</v>
      </c>
      <c r="BV15" s="341"/>
      <c r="BW15" s="332"/>
      <c r="BX15" s="332"/>
      <c r="BY15" s="334"/>
      <c r="BZ15" s="929">
        <v>3776</v>
      </c>
      <c r="CA15" s="922">
        <v>336</v>
      </c>
      <c r="CB15" s="922">
        <v>4694</v>
      </c>
      <c r="CC15" s="930">
        <v>973</v>
      </c>
      <c r="CD15" s="920"/>
      <c r="CE15" s="365"/>
      <c r="CF15" s="365"/>
      <c r="CG15" s="408"/>
      <c r="CH15" s="367">
        <v>6608</v>
      </c>
      <c r="CI15" s="368">
        <v>2892</v>
      </c>
      <c r="CJ15" s="368">
        <v>23974</v>
      </c>
      <c r="CK15" s="409">
        <v>66</v>
      </c>
      <c r="CL15" s="335">
        <v>2255</v>
      </c>
      <c r="CM15" s="336">
        <v>1429</v>
      </c>
      <c r="CN15" s="336">
        <v>10033</v>
      </c>
      <c r="CO15" s="357">
        <v>7185</v>
      </c>
      <c r="CP15" s="370">
        <f t="shared" si="2"/>
        <v>392810</v>
      </c>
      <c r="CQ15" s="410">
        <f t="shared" si="0"/>
        <v>348820</v>
      </c>
      <c r="CR15" s="410">
        <f t="shared" si="0"/>
        <v>1222766</v>
      </c>
      <c r="CS15" s="411">
        <f t="shared" si="0"/>
        <v>1040905</v>
      </c>
      <c r="CT15" s="335">
        <v>110270</v>
      </c>
      <c r="CU15" s="336">
        <v>106302</v>
      </c>
      <c r="CV15" s="336">
        <v>261679</v>
      </c>
      <c r="CW15" s="357">
        <v>288595</v>
      </c>
      <c r="CX15" s="370">
        <f t="shared" si="3"/>
        <v>503080</v>
      </c>
      <c r="CY15" s="410">
        <f t="shared" si="1"/>
        <v>455122</v>
      </c>
      <c r="CZ15" s="410">
        <f t="shared" si="1"/>
        <v>1484445</v>
      </c>
      <c r="DA15" s="412">
        <f t="shared" si="1"/>
        <v>1329500</v>
      </c>
    </row>
    <row r="16" spans="1:105" s="327" customFormat="1" ht="14.25" x14ac:dyDescent="0.3">
      <c r="A16" s="372" t="s">
        <v>49</v>
      </c>
      <c r="B16" s="403"/>
      <c r="C16" s="329"/>
      <c r="D16" s="329"/>
      <c r="E16" s="330"/>
      <c r="F16" s="404"/>
      <c r="G16" s="332"/>
      <c r="H16" s="332"/>
      <c r="I16" s="337"/>
      <c r="J16" s="405"/>
      <c r="K16" s="336"/>
      <c r="L16" s="336"/>
      <c r="M16" s="337"/>
      <c r="N16" s="405"/>
      <c r="O16" s="336"/>
      <c r="P16" s="336"/>
      <c r="Q16" s="337"/>
      <c r="R16" s="405"/>
      <c r="S16" s="336"/>
      <c r="T16" s="336"/>
      <c r="U16" s="337"/>
      <c r="V16" s="405"/>
      <c r="W16" s="336"/>
      <c r="X16" s="336"/>
      <c r="Y16" s="337"/>
      <c r="Z16" s="405"/>
      <c r="AA16" s="336"/>
      <c r="AB16" s="336"/>
      <c r="AC16" s="337"/>
      <c r="AD16" s="404"/>
      <c r="AE16" s="332"/>
      <c r="AF16" s="332"/>
      <c r="AG16" s="333"/>
      <c r="AH16" s="331"/>
      <c r="AI16" s="332"/>
      <c r="AJ16" s="332"/>
      <c r="AK16" s="333"/>
      <c r="AL16" s="331"/>
      <c r="AM16" s="332"/>
      <c r="AN16" s="332"/>
      <c r="AO16" s="334"/>
      <c r="AP16" s="335"/>
      <c r="AQ16" s="336"/>
      <c r="AR16" s="336"/>
      <c r="AS16" s="357"/>
      <c r="AT16" s="331"/>
      <c r="AU16" s="332"/>
      <c r="AV16" s="332"/>
      <c r="AW16" s="334"/>
      <c r="AX16" s="338"/>
      <c r="AY16" s="339"/>
      <c r="AZ16" s="339"/>
      <c r="BA16" s="406"/>
      <c r="BB16" s="331"/>
      <c r="BC16" s="332"/>
      <c r="BD16" s="332"/>
      <c r="BE16" s="334"/>
      <c r="BF16" s="331"/>
      <c r="BG16" s="332"/>
      <c r="BH16" s="332"/>
      <c r="BI16" s="334"/>
      <c r="BJ16" s="331"/>
      <c r="BK16" s="332"/>
      <c r="BL16" s="332"/>
      <c r="BM16" s="407"/>
      <c r="BN16" s="331"/>
      <c r="BO16" s="332"/>
      <c r="BP16" s="332"/>
      <c r="BQ16" s="334"/>
      <c r="BR16" s="331"/>
      <c r="BS16" s="332"/>
      <c r="BT16" s="332"/>
      <c r="BU16" s="334"/>
      <c r="BV16" s="341"/>
      <c r="BW16" s="332"/>
      <c r="BX16" s="332"/>
      <c r="BY16" s="334"/>
      <c r="BZ16" s="929"/>
      <c r="CA16" s="922"/>
      <c r="CB16" s="922"/>
      <c r="CC16" s="930"/>
      <c r="CD16" s="920"/>
      <c r="CE16" s="365"/>
      <c r="CF16" s="365"/>
      <c r="CG16" s="408"/>
      <c r="CH16" s="367"/>
      <c r="CI16" s="368"/>
      <c r="CJ16" s="368"/>
      <c r="CK16" s="409"/>
      <c r="CL16" s="335"/>
      <c r="CM16" s="336"/>
      <c r="CN16" s="336"/>
      <c r="CO16" s="357"/>
      <c r="CP16" s="370"/>
      <c r="CQ16" s="410"/>
      <c r="CR16" s="410"/>
      <c r="CS16" s="411"/>
      <c r="CT16" s="335">
        <v>250</v>
      </c>
      <c r="CU16" s="336"/>
      <c r="CV16" s="336">
        <v>250</v>
      </c>
      <c r="CW16" s="357"/>
      <c r="CX16" s="370">
        <f t="shared" si="3"/>
        <v>250</v>
      </c>
      <c r="CY16" s="410"/>
      <c r="CZ16" s="410">
        <f t="shared" si="1"/>
        <v>250</v>
      </c>
      <c r="DA16" s="412"/>
    </row>
    <row r="17" spans="1:105" s="327" customFormat="1" ht="14.25" x14ac:dyDescent="0.3">
      <c r="A17" s="372" t="s">
        <v>50</v>
      </c>
      <c r="B17" s="403"/>
      <c r="C17" s="329"/>
      <c r="D17" s="329"/>
      <c r="E17" s="330"/>
      <c r="F17" s="404"/>
      <c r="G17" s="332"/>
      <c r="H17" s="332"/>
      <c r="I17" s="337"/>
      <c r="J17" s="405"/>
      <c r="K17" s="336"/>
      <c r="L17" s="336"/>
      <c r="M17" s="337"/>
      <c r="N17" s="405"/>
      <c r="O17" s="336"/>
      <c r="P17" s="336"/>
      <c r="Q17" s="337"/>
      <c r="R17" s="405"/>
      <c r="S17" s="336"/>
      <c r="T17" s="336"/>
      <c r="U17" s="337"/>
      <c r="V17" s="405"/>
      <c r="W17" s="336"/>
      <c r="X17" s="336"/>
      <c r="Y17" s="337"/>
      <c r="Z17" s="405"/>
      <c r="AA17" s="336"/>
      <c r="AB17" s="336"/>
      <c r="AC17" s="337"/>
      <c r="AD17" s="404"/>
      <c r="AE17" s="332"/>
      <c r="AF17" s="332"/>
      <c r="AG17" s="333"/>
      <c r="AH17" s="331"/>
      <c r="AI17" s="332"/>
      <c r="AJ17" s="332"/>
      <c r="AK17" s="333"/>
      <c r="AL17" s="331"/>
      <c r="AM17" s="332"/>
      <c r="AN17" s="332"/>
      <c r="AO17" s="334"/>
      <c r="AP17" s="335"/>
      <c r="AQ17" s="336"/>
      <c r="AR17" s="336"/>
      <c r="AS17" s="357"/>
      <c r="AT17" s="331"/>
      <c r="AU17" s="332"/>
      <c r="AV17" s="332"/>
      <c r="AW17" s="334"/>
      <c r="AX17" s="338"/>
      <c r="AY17" s="339"/>
      <c r="AZ17" s="339"/>
      <c r="BA17" s="406"/>
      <c r="BB17" s="331"/>
      <c r="BC17" s="332"/>
      <c r="BD17" s="332"/>
      <c r="BE17" s="334"/>
      <c r="BF17" s="331"/>
      <c r="BG17" s="332"/>
      <c r="BH17" s="332"/>
      <c r="BI17" s="334"/>
      <c r="BJ17" s="331">
        <v>2714027</v>
      </c>
      <c r="BK17" s="332">
        <v>2254713</v>
      </c>
      <c r="BL17" s="332">
        <v>6778694</v>
      </c>
      <c r="BM17" s="407">
        <v>5970553</v>
      </c>
      <c r="BN17" s="331"/>
      <c r="BO17" s="332"/>
      <c r="BP17" s="332"/>
      <c r="BQ17" s="334"/>
      <c r="BR17" s="331"/>
      <c r="BS17" s="332"/>
      <c r="BT17" s="332"/>
      <c r="BU17" s="334"/>
      <c r="BV17" s="341"/>
      <c r="BW17" s="332"/>
      <c r="BX17" s="332"/>
      <c r="BY17" s="334"/>
      <c r="BZ17" s="929"/>
      <c r="CA17" s="922"/>
      <c r="CB17" s="922"/>
      <c r="CC17" s="930"/>
      <c r="CD17" s="920">
        <v>21434</v>
      </c>
      <c r="CE17" s="365">
        <v>8968</v>
      </c>
      <c r="CF17" s="365">
        <v>60458</v>
      </c>
      <c r="CG17" s="408">
        <v>18908</v>
      </c>
      <c r="CH17" s="367"/>
      <c r="CI17" s="368"/>
      <c r="CJ17" s="368"/>
      <c r="CK17" s="409"/>
      <c r="CL17" s="335"/>
      <c r="CM17" s="336"/>
      <c r="CN17" s="336"/>
      <c r="CO17" s="357"/>
      <c r="CP17" s="370">
        <f t="shared" si="2"/>
        <v>2735461</v>
      </c>
      <c r="CQ17" s="410">
        <f t="shared" si="0"/>
        <v>2263681</v>
      </c>
      <c r="CR17" s="410">
        <f t="shared" si="0"/>
        <v>6839152</v>
      </c>
      <c r="CS17" s="411">
        <f t="shared" si="0"/>
        <v>5989461</v>
      </c>
      <c r="CT17" s="335"/>
      <c r="CU17" s="336"/>
      <c r="CV17" s="336"/>
      <c r="CW17" s="357"/>
      <c r="CX17" s="370">
        <f t="shared" si="3"/>
        <v>2735461</v>
      </c>
      <c r="CY17" s="410">
        <f t="shared" si="1"/>
        <v>2263681</v>
      </c>
      <c r="CZ17" s="410">
        <f t="shared" si="1"/>
        <v>6839152</v>
      </c>
      <c r="DA17" s="412">
        <f t="shared" si="1"/>
        <v>5989461</v>
      </c>
    </row>
    <row r="18" spans="1:105" s="327" customFormat="1" ht="14.25" x14ac:dyDescent="0.3">
      <c r="A18" s="372" t="s">
        <v>51</v>
      </c>
      <c r="B18" s="403"/>
      <c r="C18" s="329"/>
      <c r="D18" s="329"/>
      <c r="E18" s="330"/>
      <c r="F18" s="404"/>
      <c r="G18" s="332"/>
      <c r="H18" s="332"/>
      <c r="I18" s="337"/>
      <c r="J18" s="405"/>
      <c r="K18" s="336"/>
      <c r="L18" s="336"/>
      <c r="M18" s="337"/>
      <c r="N18" s="405"/>
      <c r="O18" s="336"/>
      <c r="P18" s="336"/>
      <c r="Q18" s="337"/>
      <c r="R18" s="405"/>
      <c r="S18" s="336"/>
      <c r="T18" s="336"/>
      <c r="U18" s="337"/>
      <c r="V18" s="405"/>
      <c r="W18" s="336"/>
      <c r="X18" s="336"/>
      <c r="Y18" s="337"/>
      <c r="Z18" s="405"/>
      <c r="AA18" s="336"/>
      <c r="AB18" s="336"/>
      <c r="AC18" s="337"/>
      <c r="AD18" s="404"/>
      <c r="AE18" s="332"/>
      <c r="AF18" s="332"/>
      <c r="AG18" s="333"/>
      <c r="AH18" s="331"/>
      <c r="AI18" s="332"/>
      <c r="AJ18" s="332"/>
      <c r="AK18" s="333"/>
      <c r="AL18" s="331"/>
      <c r="AM18" s="332"/>
      <c r="AN18" s="332"/>
      <c r="AO18" s="334"/>
      <c r="AP18" s="335">
        <v>844198</v>
      </c>
      <c r="AQ18" s="336">
        <v>589673</v>
      </c>
      <c r="AR18" s="336">
        <v>2494902</v>
      </c>
      <c r="AS18" s="357">
        <v>1614342</v>
      </c>
      <c r="AT18" s="331"/>
      <c r="AU18" s="332"/>
      <c r="AV18" s="332"/>
      <c r="AW18" s="334"/>
      <c r="AX18" s="338"/>
      <c r="AY18" s="339"/>
      <c r="AZ18" s="339"/>
      <c r="BA18" s="406"/>
      <c r="BB18" s="331"/>
      <c r="BC18" s="332"/>
      <c r="BD18" s="332"/>
      <c r="BE18" s="334"/>
      <c r="BF18" s="331"/>
      <c r="BG18" s="332"/>
      <c r="BH18" s="332"/>
      <c r="BI18" s="334"/>
      <c r="BJ18" s="331"/>
      <c r="BK18" s="332"/>
      <c r="BL18" s="332"/>
      <c r="BM18" s="407"/>
      <c r="BN18" s="331"/>
      <c r="BO18" s="332"/>
      <c r="BP18" s="332"/>
      <c r="BQ18" s="334"/>
      <c r="BR18" s="331"/>
      <c r="BS18" s="332"/>
      <c r="BT18" s="332"/>
      <c r="BU18" s="334"/>
      <c r="BV18" s="341"/>
      <c r="BW18" s="332"/>
      <c r="BX18" s="332"/>
      <c r="BY18" s="334"/>
      <c r="BZ18" s="929"/>
      <c r="CA18" s="922"/>
      <c r="CB18" s="922"/>
      <c r="CC18" s="930"/>
      <c r="CD18" s="920"/>
      <c r="CE18" s="365"/>
      <c r="CF18" s="365"/>
      <c r="CG18" s="408"/>
      <c r="CH18" s="367">
        <v>47579</v>
      </c>
      <c r="CI18" s="368">
        <v>24821</v>
      </c>
      <c r="CJ18" s="368">
        <v>108187</v>
      </c>
      <c r="CK18" s="409">
        <v>21988</v>
      </c>
      <c r="CL18" s="335">
        <v>213624</v>
      </c>
      <c r="CM18" s="336">
        <v>176319</v>
      </c>
      <c r="CN18" s="336">
        <v>866859</v>
      </c>
      <c r="CO18" s="357">
        <v>611720</v>
      </c>
      <c r="CP18" s="370">
        <f t="shared" si="2"/>
        <v>1105401</v>
      </c>
      <c r="CQ18" s="410">
        <f t="shared" si="0"/>
        <v>790813</v>
      </c>
      <c r="CR18" s="410">
        <f t="shared" si="0"/>
        <v>3469948</v>
      </c>
      <c r="CS18" s="411">
        <f t="shared" si="0"/>
        <v>2248050</v>
      </c>
      <c r="CT18" s="335"/>
      <c r="CU18" s="336"/>
      <c r="CV18" s="336"/>
      <c r="CW18" s="357"/>
      <c r="CX18" s="370">
        <f t="shared" si="3"/>
        <v>1105401</v>
      </c>
      <c r="CY18" s="410">
        <f t="shared" si="1"/>
        <v>790813</v>
      </c>
      <c r="CZ18" s="410">
        <f t="shared" si="1"/>
        <v>3469948</v>
      </c>
      <c r="DA18" s="412">
        <f t="shared" si="1"/>
        <v>2248050</v>
      </c>
    </row>
    <row r="19" spans="1:105" s="327" customFormat="1" ht="14.25" x14ac:dyDescent="0.3">
      <c r="A19" s="372" t="s">
        <v>52</v>
      </c>
      <c r="B19" s="403"/>
      <c r="C19" s="329"/>
      <c r="D19" s="329"/>
      <c r="E19" s="330"/>
      <c r="F19" s="404"/>
      <c r="G19" s="332"/>
      <c r="H19" s="332"/>
      <c r="I19" s="337"/>
      <c r="J19" s="405"/>
      <c r="K19" s="336"/>
      <c r="L19" s="336"/>
      <c r="M19" s="337"/>
      <c r="N19" s="405"/>
      <c r="O19" s="336"/>
      <c r="P19" s="336"/>
      <c r="Q19" s="337"/>
      <c r="R19" s="405"/>
      <c r="S19" s="336"/>
      <c r="T19" s="336"/>
      <c r="U19" s="337"/>
      <c r="V19" s="405"/>
      <c r="W19" s="336"/>
      <c r="X19" s="336"/>
      <c r="Y19" s="337"/>
      <c r="Z19" s="405"/>
      <c r="AA19" s="336"/>
      <c r="AB19" s="336"/>
      <c r="AC19" s="337"/>
      <c r="AD19" s="404"/>
      <c r="AE19" s="332"/>
      <c r="AF19" s="332"/>
      <c r="AG19" s="333"/>
      <c r="AH19" s="331"/>
      <c r="AI19" s="332"/>
      <c r="AJ19" s="332"/>
      <c r="AK19" s="333"/>
      <c r="AL19" s="331"/>
      <c r="AM19" s="332"/>
      <c r="AN19" s="332"/>
      <c r="AO19" s="334"/>
      <c r="AP19" s="335">
        <v>40908</v>
      </c>
      <c r="AQ19" s="336">
        <v>37851</v>
      </c>
      <c r="AR19" s="336">
        <v>114868</v>
      </c>
      <c r="AS19" s="357">
        <v>114909</v>
      </c>
      <c r="AT19" s="331"/>
      <c r="AU19" s="332"/>
      <c r="AV19" s="332"/>
      <c r="AW19" s="334"/>
      <c r="AX19" s="338"/>
      <c r="AY19" s="339"/>
      <c r="AZ19" s="339"/>
      <c r="BA19" s="406"/>
      <c r="BB19" s="331"/>
      <c r="BC19" s="332"/>
      <c r="BD19" s="332"/>
      <c r="BE19" s="334"/>
      <c r="BF19" s="331"/>
      <c r="BG19" s="332"/>
      <c r="BH19" s="332"/>
      <c r="BI19" s="334"/>
      <c r="BJ19" s="331"/>
      <c r="BK19" s="332"/>
      <c r="BL19" s="332"/>
      <c r="BM19" s="407"/>
      <c r="BN19" s="331"/>
      <c r="BO19" s="332"/>
      <c r="BP19" s="332"/>
      <c r="BQ19" s="334"/>
      <c r="BR19" s="331"/>
      <c r="BS19" s="332"/>
      <c r="BT19" s="332"/>
      <c r="BU19" s="334"/>
      <c r="BV19" s="341"/>
      <c r="BW19" s="332"/>
      <c r="BX19" s="332"/>
      <c r="BY19" s="334"/>
      <c r="BZ19" s="929"/>
      <c r="CA19" s="922"/>
      <c r="CB19" s="922"/>
      <c r="CC19" s="930"/>
      <c r="CD19" s="920"/>
      <c r="CE19" s="365"/>
      <c r="CF19" s="365"/>
      <c r="CG19" s="408"/>
      <c r="CH19" s="367"/>
      <c r="CI19" s="368"/>
      <c r="CJ19" s="368"/>
      <c r="CK19" s="409"/>
      <c r="CL19" s="335"/>
      <c r="CM19" s="336"/>
      <c r="CN19" s="336"/>
      <c r="CO19" s="357"/>
      <c r="CP19" s="370">
        <f t="shared" si="2"/>
        <v>40908</v>
      </c>
      <c r="CQ19" s="410">
        <f t="shared" si="0"/>
        <v>37851</v>
      </c>
      <c r="CR19" s="410">
        <f t="shared" si="0"/>
        <v>114868</v>
      </c>
      <c r="CS19" s="411">
        <f t="shared" si="0"/>
        <v>114909</v>
      </c>
      <c r="CT19" s="335"/>
      <c r="CU19" s="336"/>
      <c r="CV19" s="336"/>
      <c r="CW19" s="357"/>
      <c r="CX19" s="370">
        <f t="shared" si="3"/>
        <v>40908</v>
      </c>
      <c r="CY19" s="410">
        <f t="shared" si="1"/>
        <v>37851</v>
      </c>
      <c r="CZ19" s="410">
        <f t="shared" si="1"/>
        <v>114868</v>
      </c>
      <c r="DA19" s="412">
        <f t="shared" si="1"/>
        <v>114909</v>
      </c>
    </row>
    <row r="20" spans="1:105" s="327" customFormat="1" ht="14.25" x14ac:dyDescent="0.3">
      <c r="A20" s="372" t="s">
        <v>53</v>
      </c>
      <c r="B20" s="403"/>
      <c r="C20" s="329"/>
      <c r="D20" s="329"/>
      <c r="E20" s="330"/>
      <c r="F20" s="404">
        <v>7971</v>
      </c>
      <c r="G20" s="332">
        <v>5522</v>
      </c>
      <c r="H20" s="332">
        <v>21212</v>
      </c>
      <c r="I20" s="337">
        <v>15629</v>
      </c>
      <c r="J20" s="405">
        <v>34042</v>
      </c>
      <c r="K20" s="336">
        <v>28670</v>
      </c>
      <c r="L20" s="336">
        <v>94535</v>
      </c>
      <c r="M20" s="337">
        <v>90927</v>
      </c>
      <c r="N20" s="405">
        <v>44948</v>
      </c>
      <c r="O20" s="336">
        <v>46597</v>
      </c>
      <c r="P20" s="336">
        <v>170862</v>
      </c>
      <c r="Q20" s="337">
        <v>137861</v>
      </c>
      <c r="R20" s="405"/>
      <c r="S20" s="336"/>
      <c r="T20" s="336"/>
      <c r="U20" s="337"/>
      <c r="V20" s="405"/>
      <c r="W20" s="336"/>
      <c r="X20" s="336"/>
      <c r="Y20" s="337"/>
      <c r="Z20" s="405">
        <v>6276</v>
      </c>
      <c r="AA20" s="336"/>
      <c r="AB20" s="336">
        <v>11661</v>
      </c>
      <c r="AC20" s="337">
        <v>26320</v>
      </c>
      <c r="AD20" s="404"/>
      <c r="AE20" s="332"/>
      <c r="AF20" s="332"/>
      <c r="AG20" s="333"/>
      <c r="AH20" s="331"/>
      <c r="AI20" s="332"/>
      <c r="AJ20" s="332"/>
      <c r="AK20" s="333"/>
      <c r="AL20" s="331"/>
      <c r="AM20" s="332"/>
      <c r="AN20" s="332"/>
      <c r="AO20" s="334"/>
      <c r="AP20" s="335">
        <v>149754</v>
      </c>
      <c r="AQ20" s="336">
        <v>67613</v>
      </c>
      <c r="AR20" s="336">
        <v>381240</v>
      </c>
      <c r="AS20" s="357">
        <v>363345</v>
      </c>
      <c r="AT20" s="331">
        <v>120381</v>
      </c>
      <c r="AU20" s="332">
        <v>118135</v>
      </c>
      <c r="AV20" s="332">
        <v>371502</v>
      </c>
      <c r="AW20" s="334">
        <v>348727</v>
      </c>
      <c r="AX20" s="338"/>
      <c r="AY20" s="339"/>
      <c r="AZ20" s="339"/>
      <c r="BA20" s="406"/>
      <c r="BB20" s="331"/>
      <c r="BC20" s="332"/>
      <c r="BD20" s="332"/>
      <c r="BE20" s="334"/>
      <c r="BF20" s="331"/>
      <c r="BG20" s="332"/>
      <c r="BH20" s="332"/>
      <c r="BI20" s="334"/>
      <c r="BJ20" s="331"/>
      <c r="BK20" s="332"/>
      <c r="BL20" s="332"/>
      <c r="BM20" s="407"/>
      <c r="BN20" s="331">
        <v>40663</v>
      </c>
      <c r="BO20" s="332">
        <v>23526</v>
      </c>
      <c r="BP20" s="332">
        <v>109118</v>
      </c>
      <c r="BQ20" s="334">
        <v>88295</v>
      </c>
      <c r="BR20" s="331"/>
      <c r="BS20" s="332"/>
      <c r="BT20" s="332"/>
      <c r="BU20" s="334"/>
      <c r="BV20" s="341"/>
      <c r="BW20" s="332"/>
      <c r="BX20" s="332"/>
      <c r="BY20" s="334"/>
      <c r="BZ20" s="929">
        <v>76610</v>
      </c>
      <c r="CA20" s="922">
        <v>104236</v>
      </c>
      <c r="CB20" s="922">
        <v>259630</v>
      </c>
      <c r="CC20" s="930">
        <v>270430</v>
      </c>
      <c r="CD20" s="920"/>
      <c r="CE20" s="365"/>
      <c r="CF20" s="365"/>
      <c r="CG20" s="408"/>
      <c r="CH20" s="367"/>
      <c r="CI20" s="368"/>
      <c r="CJ20" s="368"/>
      <c r="CK20" s="409"/>
      <c r="CL20" s="335">
        <v>29824</v>
      </c>
      <c r="CM20" s="336">
        <v>42478</v>
      </c>
      <c r="CN20" s="336">
        <v>81048</v>
      </c>
      <c r="CO20" s="357">
        <v>135290</v>
      </c>
      <c r="CP20" s="370">
        <f t="shared" si="2"/>
        <v>510469</v>
      </c>
      <c r="CQ20" s="410">
        <f t="shared" si="0"/>
        <v>436777</v>
      </c>
      <c r="CR20" s="410">
        <f t="shared" si="0"/>
        <v>1500808</v>
      </c>
      <c r="CS20" s="411">
        <f t="shared" si="0"/>
        <v>1476824</v>
      </c>
      <c r="CT20" s="335"/>
      <c r="CU20" s="336"/>
      <c r="CV20" s="336"/>
      <c r="CW20" s="357"/>
      <c r="CX20" s="370">
        <f t="shared" si="3"/>
        <v>510469</v>
      </c>
      <c r="CY20" s="410">
        <f t="shared" si="1"/>
        <v>436777</v>
      </c>
      <c r="CZ20" s="410">
        <f t="shared" si="1"/>
        <v>1500808</v>
      </c>
      <c r="DA20" s="412">
        <f t="shared" si="1"/>
        <v>1476824</v>
      </c>
    </row>
    <row r="21" spans="1:105" s="327" customFormat="1" ht="14.25" x14ac:dyDescent="0.3">
      <c r="A21" s="372" t="s">
        <v>54</v>
      </c>
      <c r="B21" s="403"/>
      <c r="C21" s="329"/>
      <c r="D21" s="329"/>
      <c r="E21" s="330"/>
      <c r="F21" s="404"/>
      <c r="G21" s="332"/>
      <c r="H21" s="332"/>
      <c r="I21" s="337"/>
      <c r="J21" s="405"/>
      <c r="K21" s="336"/>
      <c r="L21" s="336"/>
      <c r="M21" s="337"/>
      <c r="N21" s="405"/>
      <c r="O21" s="336"/>
      <c r="P21" s="336"/>
      <c r="Q21" s="337"/>
      <c r="R21" s="405"/>
      <c r="S21" s="336"/>
      <c r="T21" s="336"/>
      <c r="U21" s="337"/>
      <c r="V21" s="405"/>
      <c r="W21" s="336"/>
      <c r="X21" s="336"/>
      <c r="Y21" s="337"/>
      <c r="Z21" s="405">
        <v>-348</v>
      </c>
      <c r="AA21" s="336">
        <v>981</v>
      </c>
      <c r="AB21" s="336">
        <v>4248</v>
      </c>
      <c r="AC21" s="337">
        <v>4127</v>
      </c>
      <c r="AD21" s="404"/>
      <c r="AE21" s="332"/>
      <c r="AF21" s="332"/>
      <c r="AG21" s="333"/>
      <c r="AH21" s="331"/>
      <c r="AI21" s="332"/>
      <c r="AJ21" s="332"/>
      <c r="AK21" s="333"/>
      <c r="AL21" s="331"/>
      <c r="AM21" s="332"/>
      <c r="AN21" s="332"/>
      <c r="AO21" s="334"/>
      <c r="AP21" s="335"/>
      <c r="AQ21" s="336"/>
      <c r="AR21" s="336"/>
      <c r="AS21" s="357"/>
      <c r="AT21" s="331"/>
      <c r="AU21" s="332"/>
      <c r="AV21" s="332"/>
      <c r="AW21" s="334"/>
      <c r="AX21" s="338"/>
      <c r="AY21" s="339"/>
      <c r="AZ21" s="339"/>
      <c r="BA21" s="406"/>
      <c r="BB21" s="331">
        <v>1436</v>
      </c>
      <c r="BC21" s="332">
        <v>995</v>
      </c>
      <c r="BD21" s="332">
        <v>4743</v>
      </c>
      <c r="BE21" s="334">
        <v>3682</v>
      </c>
      <c r="BF21" s="331"/>
      <c r="BG21" s="332"/>
      <c r="BH21" s="332"/>
      <c r="BI21" s="334"/>
      <c r="BJ21" s="331"/>
      <c r="BK21" s="332"/>
      <c r="BL21" s="332"/>
      <c r="BM21" s="407"/>
      <c r="BN21" s="331"/>
      <c r="BO21" s="332"/>
      <c r="BP21" s="332"/>
      <c r="BQ21" s="334"/>
      <c r="BR21" s="331">
        <v>3302</v>
      </c>
      <c r="BS21" s="332">
        <v>3224</v>
      </c>
      <c r="BT21" s="332">
        <v>7895</v>
      </c>
      <c r="BU21" s="334">
        <v>13709</v>
      </c>
      <c r="BV21" s="341"/>
      <c r="BW21" s="332"/>
      <c r="BX21" s="332"/>
      <c r="BY21" s="334"/>
      <c r="BZ21" s="929"/>
      <c r="CA21" s="922"/>
      <c r="CB21" s="336"/>
      <c r="CC21" s="930"/>
      <c r="CD21" s="920"/>
      <c r="CE21" s="365"/>
      <c r="CF21" s="365"/>
      <c r="CG21" s="408"/>
      <c r="CH21" s="367">
        <v>3491</v>
      </c>
      <c r="CI21" s="368">
        <v>4781</v>
      </c>
      <c r="CJ21" s="368">
        <v>9343</v>
      </c>
      <c r="CK21" s="409">
        <v>21988</v>
      </c>
      <c r="CL21" s="335"/>
      <c r="CM21" s="336"/>
      <c r="CN21" s="336"/>
      <c r="CO21" s="357"/>
      <c r="CP21" s="370">
        <f t="shared" si="2"/>
        <v>7881</v>
      </c>
      <c r="CQ21" s="410">
        <f t="shared" si="0"/>
        <v>9981</v>
      </c>
      <c r="CR21" s="410">
        <f t="shared" si="0"/>
        <v>26229</v>
      </c>
      <c r="CS21" s="411">
        <f t="shared" si="0"/>
        <v>43506</v>
      </c>
      <c r="CT21" s="335"/>
      <c r="CU21" s="336"/>
      <c r="CV21" s="336"/>
      <c r="CW21" s="357"/>
      <c r="CX21" s="370">
        <f t="shared" si="3"/>
        <v>7881</v>
      </c>
      <c r="CY21" s="410">
        <f t="shared" si="1"/>
        <v>9981</v>
      </c>
      <c r="CZ21" s="410">
        <f t="shared" si="1"/>
        <v>26229</v>
      </c>
      <c r="DA21" s="412">
        <f t="shared" si="1"/>
        <v>43506</v>
      </c>
    </row>
    <row r="22" spans="1:105" s="327" customFormat="1" ht="14.25" x14ac:dyDescent="0.3">
      <c r="A22" s="372" t="s">
        <v>55</v>
      </c>
      <c r="B22" s="403"/>
      <c r="C22" s="329"/>
      <c r="D22" s="329"/>
      <c r="E22" s="330"/>
      <c r="F22" s="404"/>
      <c r="G22" s="332"/>
      <c r="H22" s="332"/>
      <c r="I22" s="337"/>
      <c r="J22" s="405"/>
      <c r="K22" s="336"/>
      <c r="L22" s="336"/>
      <c r="M22" s="337"/>
      <c r="N22" s="405">
        <v>103882</v>
      </c>
      <c r="O22" s="336">
        <v>39696</v>
      </c>
      <c r="P22" s="336">
        <v>176420</v>
      </c>
      <c r="Q22" s="337">
        <v>129414</v>
      </c>
      <c r="R22" s="405"/>
      <c r="S22" s="336"/>
      <c r="T22" s="336"/>
      <c r="U22" s="337"/>
      <c r="V22" s="405"/>
      <c r="W22" s="336"/>
      <c r="X22" s="336"/>
      <c r="Y22" s="337"/>
      <c r="Z22" s="405">
        <v>-671</v>
      </c>
      <c r="AA22" s="336">
        <v>13459</v>
      </c>
      <c r="AB22" s="336">
        <v>2179</v>
      </c>
      <c r="AC22" s="337"/>
      <c r="AD22" s="404"/>
      <c r="AE22" s="332"/>
      <c r="AF22" s="332"/>
      <c r="AG22" s="333"/>
      <c r="AH22" s="331">
        <v>1094727</v>
      </c>
      <c r="AI22" s="332">
        <v>1508578</v>
      </c>
      <c r="AJ22" s="332">
        <v>4126331</v>
      </c>
      <c r="AK22" s="333">
        <v>4543227</v>
      </c>
      <c r="AL22" s="331">
        <v>102525</v>
      </c>
      <c r="AM22" s="414">
        <v>286189</v>
      </c>
      <c r="AN22" s="414">
        <v>433879</v>
      </c>
      <c r="AO22" s="414">
        <v>733332</v>
      </c>
      <c r="AP22" s="335"/>
      <c r="AQ22" s="336"/>
      <c r="AR22" s="336"/>
      <c r="AS22" s="357"/>
      <c r="AT22" s="331"/>
      <c r="AU22" s="332"/>
      <c r="AV22" s="332"/>
      <c r="AW22" s="334"/>
      <c r="AX22" s="338">
        <v>-71</v>
      </c>
      <c r="AY22" s="339">
        <v>167</v>
      </c>
      <c r="AZ22" s="339">
        <v>1054</v>
      </c>
      <c r="BA22" s="406">
        <v>1157</v>
      </c>
      <c r="BB22" s="331"/>
      <c r="BC22" s="332"/>
      <c r="BD22" s="332"/>
      <c r="BE22" s="334"/>
      <c r="BF22" s="331">
        <v>3765</v>
      </c>
      <c r="BG22" s="332">
        <v>13177</v>
      </c>
      <c r="BH22" s="332">
        <v>22797</v>
      </c>
      <c r="BI22" s="334">
        <v>32903</v>
      </c>
      <c r="BJ22" s="331">
        <v>53025</v>
      </c>
      <c r="BK22" s="332">
        <v>52986</v>
      </c>
      <c r="BL22" s="332">
        <v>150540</v>
      </c>
      <c r="BM22" s="407">
        <v>137839</v>
      </c>
      <c r="BN22" s="331"/>
      <c r="BO22" s="332"/>
      <c r="BP22" s="332"/>
      <c r="BQ22" s="334"/>
      <c r="BR22" s="331">
        <v>-7495</v>
      </c>
      <c r="BS22" s="332">
        <v>92419</v>
      </c>
      <c r="BT22" s="332">
        <v>98966</v>
      </c>
      <c r="BU22" s="334">
        <v>291659</v>
      </c>
      <c r="BV22" s="341"/>
      <c r="BW22" s="332"/>
      <c r="BX22" s="332"/>
      <c r="BY22" s="334"/>
      <c r="BZ22" s="929">
        <v>-3702</v>
      </c>
      <c r="CA22" s="922">
        <v>2923</v>
      </c>
      <c r="CB22" s="922">
        <v>1271</v>
      </c>
      <c r="CC22" s="930">
        <v>14689</v>
      </c>
      <c r="CD22" s="920">
        <v>3394</v>
      </c>
      <c r="CE22" s="365">
        <v>8609</v>
      </c>
      <c r="CF22" s="365">
        <v>-13964</v>
      </c>
      <c r="CG22" s="408">
        <v>34714</v>
      </c>
      <c r="CH22" s="367">
        <v>1054</v>
      </c>
      <c r="CI22" s="368">
        <v>2959</v>
      </c>
      <c r="CJ22" s="368">
        <v>5160</v>
      </c>
      <c r="CK22" s="409">
        <v>10693</v>
      </c>
      <c r="CL22" s="335">
        <v>3763</v>
      </c>
      <c r="CM22" s="336">
        <v>7513</v>
      </c>
      <c r="CN22" s="336">
        <v>3763</v>
      </c>
      <c r="CO22" s="357">
        <v>-6609</v>
      </c>
      <c r="CP22" s="370">
        <f t="shared" si="2"/>
        <v>1354196</v>
      </c>
      <c r="CQ22" s="410">
        <f t="shared" si="2"/>
        <v>2028675</v>
      </c>
      <c r="CR22" s="410">
        <f t="shared" si="2"/>
        <v>5008396</v>
      </c>
      <c r="CS22" s="411">
        <f t="shared" si="2"/>
        <v>5923018</v>
      </c>
      <c r="CT22" s="335">
        <v>5305141</v>
      </c>
      <c r="CU22" s="336">
        <v>219726</v>
      </c>
      <c r="CV22" s="336">
        <v>5514708</v>
      </c>
      <c r="CW22" s="357">
        <v>752221</v>
      </c>
      <c r="CX22" s="370">
        <f t="shared" si="3"/>
        <v>6659337</v>
      </c>
      <c r="CY22" s="410">
        <f t="shared" si="3"/>
        <v>2248401</v>
      </c>
      <c r="CZ22" s="410">
        <f t="shared" si="3"/>
        <v>10523104</v>
      </c>
      <c r="DA22" s="412">
        <f t="shared" si="3"/>
        <v>6675239</v>
      </c>
    </row>
    <row r="23" spans="1:105" s="327" customFormat="1" ht="14.25" x14ac:dyDescent="0.3">
      <c r="A23" s="372" t="s">
        <v>56</v>
      </c>
      <c r="B23" s="403"/>
      <c r="C23" s="329"/>
      <c r="D23" s="329"/>
      <c r="E23" s="330"/>
      <c r="F23" s="404"/>
      <c r="G23" s="332"/>
      <c r="H23" s="332"/>
      <c r="I23" s="337"/>
      <c r="J23" s="405"/>
      <c r="K23" s="336"/>
      <c r="L23" s="336"/>
      <c r="M23" s="337"/>
      <c r="N23" s="405"/>
      <c r="O23" s="336"/>
      <c r="P23" s="336"/>
      <c r="Q23" s="337"/>
      <c r="R23" s="405"/>
      <c r="S23" s="336"/>
      <c r="T23" s="336"/>
      <c r="U23" s="337"/>
      <c r="V23" s="405"/>
      <c r="W23" s="336"/>
      <c r="X23" s="336"/>
      <c r="Y23" s="337"/>
      <c r="Z23" s="405"/>
      <c r="AA23" s="336"/>
      <c r="AB23" s="336"/>
      <c r="AC23" s="337"/>
      <c r="AD23" s="404"/>
      <c r="AE23" s="332"/>
      <c r="AF23" s="332"/>
      <c r="AG23" s="333"/>
      <c r="AH23" s="331"/>
      <c r="AI23" s="332"/>
      <c r="AJ23" s="332"/>
      <c r="AK23" s="333"/>
      <c r="AL23" s="331"/>
      <c r="AM23" s="332"/>
      <c r="AN23" s="332"/>
      <c r="AO23" s="334"/>
      <c r="AP23" s="335"/>
      <c r="AQ23" s="336"/>
      <c r="AR23" s="336"/>
      <c r="AS23" s="357"/>
      <c r="AT23" s="331"/>
      <c r="AU23" s="332"/>
      <c r="AV23" s="332"/>
      <c r="AW23" s="334"/>
      <c r="AX23" s="338"/>
      <c r="AY23" s="339"/>
      <c r="AZ23" s="339"/>
      <c r="BA23" s="406"/>
      <c r="BB23" s="331"/>
      <c r="BC23" s="332"/>
      <c r="BD23" s="332"/>
      <c r="BE23" s="334"/>
      <c r="BF23" s="331"/>
      <c r="BG23" s="332"/>
      <c r="BH23" s="332"/>
      <c r="BI23" s="334"/>
      <c r="BJ23" s="331"/>
      <c r="BK23" s="332"/>
      <c r="BL23" s="332"/>
      <c r="BM23" s="407"/>
      <c r="BN23" s="331"/>
      <c r="BO23" s="332"/>
      <c r="BP23" s="332"/>
      <c r="BQ23" s="334"/>
      <c r="BR23" s="331"/>
      <c r="BS23" s="332"/>
      <c r="BT23" s="332"/>
      <c r="BU23" s="334"/>
      <c r="BV23" s="341"/>
      <c r="BW23" s="332"/>
      <c r="BX23" s="332"/>
      <c r="BY23" s="334"/>
      <c r="BZ23" s="335"/>
      <c r="CA23" s="336"/>
      <c r="CB23" s="336"/>
      <c r="CC23" s="337"/>
      <c r="CD23" s="920"/>
      <c r="CE23" s="365"/>
      <c r="CF23" s="365"/>
      <c r="CG23" s="408"/>
      <c r="CH23" s="367"/>
      <c r="CI23" s="368"/>
      <c r="CJ23" s="368"/>
      <c r="CK23" s="409"/>
      <c r="CL23" s="335"/>
      <c r="CM23" s="336"/>
      <c r="CN23" s="336"/>
      <c r="CO23" s="357"/>
      <c r="CP23" s="370"/>
      <c r="CQ23" s="410"/>
      <c r="CR23" s="410"/>
      <c r="CS23" s="411"/>
      <c r="CT23" s="335"/>
      <c r="CU23" s="336"/>
      <c r="CV23" s="336"/>
      <c r="CW23" s="357"/>
      <c r="CX23" s="370"/>
      <c r="CY23" s="410"/>
      <c r="CZ23" s="410"/>
      <c r="DA23" s="412"/>
    </row>
    <row r="24" spans="1:105" s="327" customFormat="1" ht="14.25" x14ac:dyDescent="0.3">
      <c r="A24" s="372" t="s">
        <v>39</v>
      </c>
      <c r="B24" s="415">
        <v>-703019</v>
      </c>
      <c r="C24" s="416">
        <v>-309693</v>
      </c>
      <c r="D24" s="416">
        <v>-1350112</v>
      </c>
      <c r="E24" s="417">
        <v>-1053532</v>
      </c>
      <c r="F24" s="418">
        <v>-73597</v>
      </c>
      <c r="G24" s="353">
        <v>-53078</v>
      </c>
      <c r="H24" s="353">
        <v>-333342</v>
      </c>
      <c r="I24" s="375">
        <v>-152192</v>
      </c>
      <c r="J24" s="410">
        <v>-161181</v>
      </c>
      <c r="K24" s="374">
        <v>-122427</v>
      </c>
      <c r="L24" s="374">
        <v>-348861</v>
      </c>
      <c r="M24" s="375">
        <v>-375329</v>
      </c>
      <c r="N24" s="410">
        <v>-41992</v>
      </c>
      <c r="O24" s="374">
        <v>-60436</v>
      </c>
      <c r="P24" s="374">
        <v>-342827</v>
      </c>
      <c r="Q24" s="375">
        <v>-356002</v>
      </c>
      <c r="R24" s="410">
        <v>-28844</v>
      </c>
      <c r="S24" s="374">
        <v>-26567</v>
      </c>
      <c r="T24" s="374">
        <v>-114414</v>
      </c>
      <c r="U24" s="375">
        <v>-144564</v>
      </c>
      <c r="V24" s="410">
        <v>-74083</v>
      </c>
      <c r="W24" s="374">
        <v>-42088</v>
      </c>
      <c r="X24" s="374">
        <v>-273860</v>
      </c>
      <c r="Y24" s="375">
        <v>-110528</v>
      </c>
      <c r="Z24" s="410">
        <v>-397236</v>
      </c>
      <c r="AA24" s="374">
        <v>-182323</v>
      </c>
      <c r="AB24" s="374">
        <v>-1014318</v>
      </c>
      <c r="AC24" s="375">
        <v>-521442</v>
      </c>
      <c r="AD24" s="418">
        <v>-101232</v>
      </c>
      <c r="AE24" s="353">
        <v>-4688</v>
      </c>
      <c r="AF24" s="353">
        <v>-143082</v>
      </c>
      <c r="AG24" s="419">
        <v>-79504</v>
      </c>
      <c r="AH24" s="349">
        <v>-138097</v>
      </c>
      <c r="AI24" s="353">
        <v>-111037</v>
      </c>
      <c r="AJ24" s="353">
        <v>-524876</v>
      </c>
      <c r="AK24" s="419">
        <v>-451171</v>
      </c>
      <c r="AL24" s="349"/>
      <c r="AM24" s="353"/>
      <c r="AN24" s="353"/>
      <c r="AO24" s="350"/>
      <c r="AP24" s="370">
        <v>-580346</v>
      </c>
      <c r="AQ24" s="374">
        <v>-515684</v>
      </c>
      <c r="AR24" s="374">
        <v>-1440110</v>
      </c>
      <c r="AS24" s="376">
        <v>-1209235</v>
      </c>
      <c r="AT24" s="349">
        <v>-1020621</v>
      </c>
      <c r="AU24" s="353">
        <v>-635775</v>
      </c>
      <c r="AV24" s="353">
        <v>-2526040</v>
      </c>
      <c r="AW24" s="350">
        <v>-1698107</v>
      </c>
      <c r="AX24" s="338">
        <v>-22836</v>
      </c>
      <c r="AY24" s="339">
        <v>-35947</v>
      </c>
      <c r="AZ24" s="339">
        <v>-56995</v>
      </c>
      <c r="BA24" s="406">
        <v>-63632</v>
      </c>
      <c r="BB24" s="349">
        <v>-178803</v>
      </c>
      <c r="BC24" s="353">
        <v>-186406</v>
      </c>
      <c r="BD24" s="353">
        <v>-505132</v>
      </c>
      <c r="BE24" s="350">
        <v>-503359</v>
      </c>
      <c r="BF24" s="420">
        <v>-197496</v>
      </c>
      <c r="BG24" s="421">
        <v>-158202</v>
      </c>
      <c r="BH24" s="421">
        <v>-601999</v>
      </c>
      <c r="BI24" s="422">
        <v>-452922</v>
      </c>
      <c r="BJ24" s="349">
        <v>-252413</v>
      </c>
      <c r="BK24" s="353">
        <v>-254519</v>
      </c>
      <c r="BL24" s="353">
        <v>-686387</v>
      </c>
      <c r="BM24" s="407">
        <v>-642226</v>
      </c>
      <c r="BN24" s="349">
        <v>-283145</v>
      </c>
      <c r="BO24" s="353">
        <v>-268721</v>
      </c>
      <c r="BP24" s="353">
        <v>-705127</v>
      </c>
      <c r="BQ24" s="350">
        <v>-629403</v>
      </c>
      <c r="BR24" s="349">
        <v>-45155</v>
      </c>
      <c r="BS24" s="353">
        <v>-48062</v>
      </c>
      <c r="BT24" s="353">
        <v>-213923</v>
      </c>
      <c r="BU24" s="350">
        <v>-144754</v>
      </c>
      <c r="BV24" s="341"/>
      <c r="BW24" s="332"/>
      <c r="BX24" s="332"/>
      <c r="BY24" s="334"/>
      <c r="BZ24" s="929">
        <v>-324345</v>
      </c>
      <c r="CA24" s="922">
        <v>-369291</v>
      </c>
      <c r="CB24" s="922">
        <v>-1233220</v>
      </c>
      <c r="CC24" s="930">
        <v>-1165405</v>
      </c>
      <c r="CD24" s="920">
        <v>-4164</v>
      </c>
      <c r="CE24" s="365">
        <v>-16670</v>
      </c>
      <c r="CF24" s="365">
        <v>-22493</v>
      </c>
      <c r="CG24" s="408">
        <v>-23506</v>
      </c>
      <c r="CH24" s="367">
        <v>-101057</v>
      </c>
      <c r="CI24" s="368">
        <v>-82842</v>
      </c>
      <c r="CJ24" s="368">
        <v>-318487</v>
      </c>
      <c r="CK24" s="409">
        <v>-256400</v>
      </c>
      <c r="CL24" s="370">
        <v>-228731</v>
      </c>
      <c r="CM24" s="374">
        <v>-225844</v>
      </c>
      <c r="CN24" s="374">
        <v>-564521</v>
      </c>
      <c r="CO24" s="376">
        <v>-531338</v>
      </c>
      <c r="CP24" s="370">
        <f t="shared" si="2"/>
        <v>-4958393</v>
      </c>
      <c r="CQ24" s="410">
        <f t="shared" si="2"/>
        <v>-3710300</v>
      </c>
      <c r="CR24" s="410">
        <f t="shared" si="2"/>
        <v>-13320126</v>
      </c>
      <c r="CS24" s="411">
        <f t="shared" si="2"/>
        <v>-10564551</v>
      </c>
      <c r="CT24" s="370">
        <v>-417056</v>
      </c>
      <c r="CU24" s="374">
        <v>-222554</v>
      </c>
      <c r="CV24" s="374">
        <v>-654866</v>
      </c>
      <c r="CW24" s="376">
        <v>-559814</v>
      </c>
      <c r="CX24" s="370">
        <f t="shared" si="3"/>
        <v>-5375449</v>
      </c>
      <c r="CY24" s="410">
        <f t="shared" si="3"/>
        <v>-3932854</v>
      </c>
      <c r="CZ24" s="410">
        <f t="shared" si="3"/>
        <v>-13974992</v>
      </c>
      <c r="DA24" s="412">
        <f t="shared" si="3"/>
        <v>-11124365</v>
      </c>
    </row>
    <row r="25" spans="1:105" s="327" customFormat="1" ht="14.25" x14ac:dyDescent="0.3">
      <c r="A25" s="372" t="s">
        <v>40</v>
      </c>
      <c r="B25" s="403"/>
      <c r="C25" s="329"/>
      <c r="D25" s="329"/>
      <c r="E25" s="330"/>
      <c r="F25" s="404"/>
      <c r="G25" s="332"/>
      <c r="H25" s="332"/>
      <c r="I25" s="337"/>
      <c r="J25" s="405"/>
      <c r="K25" s="336"/>
      <c r="L25" s="336"/>
      <c r="M25" s="337"/>
      <c r="N25" s="405"/>
      <c r="O25" s="336"/>
      <c r="P25" s="336"/>
      <c r="Q25" s="337"/>
      <c r="R25" s="405"/>
      <c r="S25" s="336"/>
      <c r="T25" s="336"/>
      <c r="U25" s="337"/>
      <c r="V25" s="405"/>
      <c r="W25" s="336"/>
      <c r="X25" s="336"/>
      <c r="Y25" s="337"/>
      <c r="Z25" s="405"/>
      <c r="AA25" s="336"/>
      <c r="AB25" s="336"/>
      <c r="AC25" s="337"/>
      <c r="AD25" s="404"/>
      <c r="AE25" s="332"/>
      <c r="AF25" s="332"/>
      <c r="AG25" s="333"/>
      <c r="AH25" s="331"/>
      <c r="AI25" s="332"/>
      <c r="AJ25" s="332"/>
      <c r="AK25" s="333"/>
      <c r="AL25" s="331"/>
      <c r="AM25" s="332"/>
      <c r="AN25" s="332"/>
      <c r="AO25" s="334"/>
      <c r="AP25" s="335"/>
      <c r="AQ25" s="336"/>
      <c r="AR25" s="336"/>
      <c r="AS25" s="357"/>
      <c r="AT25" s="331"/>
      <c r="AU25" s="332"/>
      <c r="AV25" s="332"/>
      <c r="AW25" s="334"/>
      <c r="AX25" s="338"/>
      <c r="AY25" s="339"/>
      <c r="AZ25" s="339"/>
      <c r="BA25" s="406"/>
      <c r="BB25" s="331"/>
      <c r="BC25" s="332"/>
      <c r="BD25" s="332"/>
      <c r="BE25" s="334"/>
      <c r="BF25" s="331"/>
      <c r="BG25" s="332"/>
      <c r="BH25" s="332"/>
      <c r="BI25" s="334"/>
      <c r="BJ25" s="331"/>
      <c r="BK25" s="332"/>
      <c r="BL25" s="332"/>
      <c r="BM25" s="407"/>
      <c r="BN25" s="331"/>
      <c r="BO25" s="332"/>
      <c r="BP25" s="332"/>
      <c r="BQ25" s="334"/>
      <c r="BR25" s="331"/>
      <c r="BS25" s="332"/>
      <c r="BT25" s="332"/>
      <c r="BU25" s="334"/>
      <c r="BV25" s="341"/>
      <c r="BW25" s="332"/>
      <c r="BX25" s="332"/>
      <c r="BY25" s="334"/>
      <c r="BZ25" s="335"/>
      <c r="CA25" s="336"/>
      <c r="CB25" s="336"/>
      <c r="CC25" s="337"/>
      <c r="CD25" s="920"/>
      <c r="CE25" s="365"/>
      <c r="CF25" s="365"/>
      <c r="CG25" s="408"/>
      <c r="CH25" s="367"/>
      <c r="CI25" s="368"/>
      <c r="CJ25" s="368"/>
      <c r="CK25" s="409"/>
      <c r="CL25" s="335"/>
      <c r="CM25" s="336"/>
      <c r="CN25" s="336"/>
      <c r="CO25" s="357"/>
      <c r="CP25" s="370"/>
      <c r="CQ25" s="410"/>
      <c r="CR25" s="410"/>
      <c r="CS25" s="411"/>
      <c r="CT25" s="367"/>
      <c r="CU25" s="368"/>
      <c r="CV25" s="368"/>
      <c r="CW25" s="409"/>
      <c r="CX25" s="370"/>
      <c r="CY25" s="410"/>
      <c r="CZ25" s="410"/>
      <c r="DA25" s="412"/>
    </row>
    <row r="26" spans="1:105" s="327" customFormat="1" ht="14.25" x14ac:dyDescent="0.3">
      <c r="A26" s="372" t="s">
        <v>57</v>
      </c>
      <c r="B26" s="403"/>
      <c r="C26" s="329"/>
      <c r="D26" s="329"/>
      <c r="E26" s="330"/>
      <c r="F26" s="404"/>
      <c r="G26" s="332"/>
      <c r="H26" s="332"/>
      <c r="I26" s="337"/>
      <c r="J26" s="405"/>
      <c r="K26" s="336"/>
      <c r="L26" s="336"/>
      <c r="M26" s="337"/>
      <c r="N26" s="405"/>
      <c r="O26" s="336"/>
      <c r="P26" s="336"/>
      <c r="Q26" s="337"/>
      <c r="R26" s="405"/>
      <c r="S26" s="336"/>
      <c r="T26" s="336"/>
      <c r="U26" s="337"/>
      <c r="V26" s="405"/>
      <c r="W26" s="336"/>
      <c r="X26" s="336"/>
      <c r="Y26" s="337"/>
      <c r="Z26" s="405"/>
      <c r="AA26" s="336"/>
      <c r="AB26" s="336"/>
      <c r="AC26" s="337"/>
      <c r="AD26" s="404"/>
      <c r="AE26" s="332"/>
      <c r="AF26" s="332"/>
      <c r="AG26" s="333"/>
      <c r="AH26" s="331"/>
      <c r="AI26" s="332"/>
      <c r="AJ26" s="332"/>
      <c r="AK26" s="333"/>
      <c r="AL26" s="331"/>
      <c r="AM26" s="332"/>
      <c r="AN26" s="332"/>
      <c r="AO26" s="334"/>
      <c r="AP26" s="335"/>
      <c r="AQ26" s="336"/>
      <c r="AR26" s="336"/>
      <c r="AS26" s="357"/>
      <c r="AT26" s="331"/>
      <c r="AU26" s="332"/>
      <c r="AV26" s="332"/>
      <c r="AW26" s="334"/>
      <c r="AX26" s="338"/>
      <c r="AY26" s="339"/>
      <c r="AZ26" s="339"/>
      <c r="BA26" s="406"/>
      <c r="BB26" s="331"/>
      <c r="BC26" s="332"/>
      <c r="BD26" s="332"/>
      <c r="BE26" s="334"/>
      <c r="BF26" s="331"/>
      <c r="BG26" s="332"/>
      <c r="BH26" s="332"/>
      <c r="BI26" s="334"/>
      <c r="BJ26" s="331"/>
      <c r="BK26" s="332"/>
      <c r="BL26" s="332"/>
      <c r="BM26" s="407"/>
      <c r="BN26" s="331"/>
      <c r="BO26" s="332"/>
      <c r="BP26" s="332"/>
      <c r="BQ26" s="334"/>
      <c r="BR26" s="331"/>
      <c r="BS26" s="332"/>
      <c r="BT26" s="332"/>
      <c r="BU26" s="334"/>
      <c r="BV26" s="341"/>
      <c r="BW26" s="332"/>
      <c r="BX26" s="332"/>
      <c r="BY26" s="334"/>
      <c r="BZ26" s="335"/>
      <c r="CA26" s="336"/>
      <c r="CB26" s="336"/>
      <c r="CC26" s="337"/>
      <c r="CD26" s="920"/>
      <c r="CE26" s="365"/>
      <c r="CF26" s="365"/>
      <c r="CG26" s="408"/>
      <c r="CH26" s="367"/>
      <c r="CI26" s="368"/>
      <c r="CJ26" s="368"/>
      <c r="CK26" s="409"/>
      <c r="CL26" s="335"/>
      <c r="CM26" s="336"/>
      <c r="CN26" s="336"/>
      <c r="CO26" s="357"/>
      <c r="CP26" s="370"/>
      <c r="CQ26" s="410"/>
      <c r="CR26" s="410"/>
      <c r="CS26" s="411"/>
      <c r="CT26" s="367"/>
      <c r="CU26" s="368"/>
      <c r="CV26" s="368"/>
      <c r="CW26" s="409"/>
      <c r="CX26" s="370"/>
      <c r="CY26" s="410"/>
      <c r="CZ26" s="410"/>
      <c r="DA26" s="412"/>
    </row>
    <row r="27" spans="1:105" s="327" customFormat="1" ht="14.25" x14ac:dyDescent="0.3">
      <c r="A27" s="372" t="s">
        <v>58</v>
      </c>
      <c r="B27" s="403">
        <v>-1578</v>
      </c>
      <c r="C27" s="329">
        <v>-1293</v>
      </c>
      <c r="D27" s="329">
        <v>-5455</v>
      </c>
      <c r="E27" s="330">
        <v>-4972</v>
      </c>
      <c r="F27" s="404">
        <v>-1194</v>
      </c>
      <c r="G27" s="332">
        <v>-199</v>
      </c>
      <c r="H27" s="332">
        <v>-4076</v>
      </c>
      <c r="I27" s="337">
        <v>-4271</v>
      </c>
      <c r="J27" s="405"/>
      <c r="K27" s="336"/>
      <c r="L27" s="336"/>
      <c r="M27" s="337"/>
      <c r="N27" s="405">
        <v>-709</v>
      </c>
      <c r="O27" s="336">
        <v>784</v>
      </c>
      <c r="P27" s="336">
        <v>-3034</v>
      </c>
      <c r="Q27" s="337">
        <v>390</v>
      </c>
      <c r="R27" s="405">
        <v>-55</v>
      </c>
      <c r="S27" s="336">
        <v>-72</v>
      </c>
      <c r="T27" s="336">
        <v>-19560</v>
      </c>
      <c r="U27" s="337">
        <v>-600</v>
      </c>
      <c r="V27" s="405"/>
      <c r="W27" s="336"/>
      <c r="X27" s="336"/>
      <c r="Y27" s="337"/>
      <c r="Z27" s="405"/>
      <c r="AA27" s="336"/>
      <c r="AB27" s="336"/>
      <c r="AC27" s="337"/>
      <c r="AD27" s="404">
        <v>-3204</v>
      </c>
      <c r="AE27" s="332">
        <v>-48</v>
      </c>
      <c r="AF27" s="332">
        <v>-4669</v>
      </c>
      <c r="AG27" s="333">
        <v>-199</v>
      </c>
      <c r="AH27" s="331"/>
      <c r="AI27" s="332"/>
      <c r="AJ27" s="332"/>
      <c r="AK27" s="333"/>
      <c r="AL27" s="331"/>
      <c r="AM27" s="332"/>
      <c r="AN27" s="332"/>
      <c r="AO27" s="334"/>
      <c r="AP27" s="335">
        <v>-54512</v>
      </c>
      <c r="AQ27" s="336">
        <v>-27174</v>
      </c>
      <c r="AR27" s="336">
        <v>-114985</v>
      </c>
      <c r="AS27" s="357">
        <v>-128881</v>
      </c>
      <c r="AT27" s="331">
        <v>-106251</v>
      </c>
      <c r="AU27" s="332">
        <v>-92149</v>
      </c>
      <c r="AV27" s="332">
        <v>-285535</v>
      </c>
      <c r="AW27" s="334">
        <v>-265726</v>
      </c>
      <c r="AX27" s="338">
        <v>1</v>
      </c>
      <c r="AY27" s="339"/>
      <c r="AZ27" s="339">
        <v>-135</v>
      </c>
      <c r="BA27" s="406">
        <v>-1820</v>
      </c>
      <c r="BB27" s="331">
        <v>-1700</v>
      </c>
      <c r="BC27" s="332">
        <v>-2318</v>
      </c>
      <c r="BD27" s="332">
        <v>-6273</v>
      </c>
      <c r="BE27" s="334">
        <v>-6742</v>
      </c>
      <c r="BF27" s="331"/>
      <c r="BG27" s="332"/>
      <c r="BH27" s="332"/>
      <c r="BI27" s="334"/>
      <c r="BJ27" s="331">
        <v>-6902</v>
      </c>
      <c r="BK27" s="332">
        <v>-15104</v>
      </c>
      <c r="BL27" s="332">
        <v>-24950</v>
      </c>
      <c r="BM27" s="407">
        <v>-29761</v>
      </c>
      <c r="BN27" s="331">
        <v>-4899</v>
      </c>
      <c r="BO27" s="332">
        <v>-16982</v>
      </c>
      <c r="BP27" s="332">
        <v>-12746</v>
      </c>
      <c r="BQ27" s="334">
        <v>-22411</v>
      </c>
      <c r="BR27" s="331">
        <v>-434</v>
      </c>
      <c r="BS27" s="332">
        <v>-144</v>
      </c>
      <c r="BT27" s="332">
        <v>-518</v>
      </c>
      <c r="BU27" s="334">
        <v>-746</v>
      </c>
      <c r="BV27" s="341"/>
      <c r="BW27" s="332"/>
      <c r="BX27" s="332"/>
      <c r="BY27" s="334"/>
      <c r="BZ27" s="929">
        <v>-59</v>
      </c>
      <c r="CA27" s="922">
        <v>-105</v>
      </c>
      <c r="CB27" s="922">
        <v>-747</v>
      </c>
      <c r="CC27" s="930">
        <v>-281</v>
      </c>
      <c r="CD27" s="920"/>
      <c r="CE27" s="365"/>
      <c r="CF27" s="365"/>
      <c r="CG27" s="408"/>
      <c r="CH27" s="367">
        <v>-4029</v>
      </c>
      <c r="CI27" s="368">
        <v>-1935</v>
      </c>
      <c r="CJ27" s="368">
        <v>-11887</v>
      </c>
      <c r="CK27" s="409">
        <v>490</v>
      </c>
      <c r="CL27" s="335"/>
      <c r="CM27" s="336"/>
      <c r="CN27" s="336"/>
      <c r="CO27" s="357"/>
      <c r="CP27" s="370">
        <f t="shared" si="2"/>
        <v>-185525</v>
      </c>
      <c r="CQ27" s="410">
        <f t="shared" si="2"/>
        <v>-156739</v>
      </c>
      <c r="CR27" s="410">
        <f t="shared" si="2"/>
        <v>-494570</v>
      </c>
      <c r="CS27" s="411">
        <f t="shared" si="2"/>
        <v>-465530</v>
      </c>
      <c r="CT27" s="367">
        <v>-28427</v>
      </c>
      <c r="CU27" s="368">
        <v>-32440</v>
      </c>
      <c r="CV27" s="368">
        <v>-78027</v>
      </c>
      <c r="CW27" s="409">
        <v>-100391</v>
      </c>
      <c r="CX27" s="370">
        <f t="shared" si="3"/>
        <v>-213952</v>
      </c>
      <c r="CY27" s="410">
        <f t="shared" si="3"/>
        <v>-189179</v>
      </c>
      <c r="CZ27" s="410">
        <f t="shared" si="3"/>
        <v>-572597</v>
      </c>
      <c r="DA27" s="412">
        <f t="shared" si="3"/>
        <v>-565921</v>
      </c>
    </row>
    <row r="28" spans="1:105" s="327" customFormat="1" ht="14.25" x14ac:dyDescent="0.3">
      <c r="A28" s="372" t="s">
        <v>59</v>
      </c>
      <c r="B28" s="403"/>
      <c r="C28" s="329"/>
      <c r="D28" s="329"/>
      <c r="E28" s="330"/>
      <c r="F28" s="404">
        <v>-6000</v>
      </c>
      <c r="G28" s="332"/>
      <c r="H28" s="332">
        <v>-22352</v>
      </c>
      <c r="I28" s="337">
        <v>-4279</v>
      </c>
      <c r="J28" s="405"/>
      <c r="K28" s="336"/>
      <c r="L28" s="336"/>
      <c r="M28" s="337"/>
      <c r="N28" s="405">
        <v>2214</v>
      </c>
      <c r="O28" s="336">
        <v>-55</v>
      </c>
      <c r="P28" s="336">
        <v>-120</v>
      </c>
      <c r="Q28" s="337">
        <v>-422</v>
      </c>
      <c r="R28" s="405">
        <v>-1275</v>
      </c>
      <c r="S28" s="336">
        <v>-4975</v>
      </c>
      <c r="T28" s="336">
        <v>-850</v>
      </c>
      <c r="U28" s="337">
        <v>-9246</v>
      </c>
      <c r="V28" s="405"/>
      <c r="W28" s="336"/>
      <c r="X28" s="336"/>
      <c r="Y28" s="337"/>
      <c r="Z28" s="405"/>
      <c r="AA28" s="336"/>
      <c r="AB28" s="336"/>
      <c r="AC28" s="337"/>
      <c r="AD28" s="404"/>
      <c r="AE28" s="332"/>
      <c r="AF28" s="332"/>
      <c r="AG28" s="333"/>
      <c r="AH28" s="331"/>
      <c r="AI28" s="332"/>
      <c r="AJ28" s="332"/>
      <c r="AK28" s="333"/>
      <c r="AL28" s="331"/>
      <c r="AM28" s="332"/>
      <c r="AN28" s="332"/>
      <c r="AO28" s="334"/>
      <c r="AP28" s="335"/>
      <c r="AQ28" s="336"/>
      <c r="AR28" s="336"/>
      <c r="AS28" s="357"/>
      <c r="AT28" s="331"/>
      <c r="AU28" s="332"/>
      <c r="AV28" s="332"/>
      <c r="AW28" s="334"/>
      <c r="AX28" s="338"/>
      <c r="AY28" s="339"/>
      <c r="AZ28" s="339"/>
      <c r="BA28" s="406"/>
      <c r="BB28" s="331"/>
      <c r="BC28" s="332"/>
      <c r="BD28" s="332"/>
      <c r="BE28" s="334"/>
      <c r="BF28" s="331">
        <v>100</v>
      </c>
      <c r="BG28" s="332"/>
      <c r="BH28" s="332">
        <v>100</v>
      </c>
      <c r="BI28" s="334">
        <v>-50</v>
      </c>
      <c r="BJ28" s="331"/>
      <c r="BK28" s="332"/>
      <c r="BL28" s="332"/>
      <c r="BM28" s="334"/>
      <c r="BN28" s="331"/>
      <c r="BO28" s="332"/>
      <c r="BP28" s="332"/>
      <c r="BQ28" s="334"/>
      <c r="BR28" s="331"/>
      <c r="BS28" s="332"/>
      <c r="BT28" s="332"/>
      <c r="BU28" s="334"/>
      <c r="BV28" s="341"/>
      <c r="BW28" s="332"/>
      <c r="BX28" s="332"/>
      <c r="BY28" s="334"/>
      <c r="BZ28" s="929"/>
      <c r="CA28" s="922"/>
      <c r="CB28" s="922"/>
      <c r="CC28" s="930"/>
      <c r="CD28" s="920"/>
      <c r="CE28" s="365"/>
      <c r="CF28" s="365"/>
      <c r="CG28" s="408"/>
      <c r="CH28" s="367"/>
      <c r="CI28" s="368"/>
      <c r="CJ28" s="368"/>
      <c r="CK28" s="409"/>
      <c r="CL28" s="335"/>
      <c r="CM28" s="336"/>
      <c r="CN28" s="336"/>
      <c r="CO28" s="357"/>
      <c r="CP28" s="370">
        <f t="shared" si="2"/>
        <v>-4961</v>
      </c>
      <c r="CQ28" s="410">
        <f t="shared" si="2"/>
        <v>-5030</v>
      </c>
      <c r="CR28" s="410">
        <f t="shared" si="2"/>
        <v>-23222</v>
      </c>
      <c r="CS28" s="411">
        <f t="shared" si="2"/>
        <v>-13997</v>
      </c>
      <c r="CT28" s="367"/>
      <c r="CU28" s="368"/>
      <c r="CV28" s="368"/>
      <c r="CW28" s="409"/>
      <c r="CX28" s="370">
        <f t="shared" si="3"/>
        <v>-4961</v>
      </c>
      <c r="CY28" s="410">
        <f t="shared" si="3"/>
        <v>-5030</v>
      </c>
      <c r="CZ28" s="410">
        <f t="shared" si="3"/>
        <v>-23222</v>
      </c>
      <c r="DA28" s="412">
        <f t="shared" si="3"/>
        <v>-13997</v>
      </c>
    </row>
    <row r="29" spans="1:105" s="327" customFormat="1" ht="14.25" x14ac:dyDescent="0.3">
      <c r="A29" s="372" t="s">
        <v>60</v>
      </c>
      <c r="B29" s="415"/>
      <c r="C29" s="416"/>
      <c r="D29" s="416"/>
      <c r="E29" s="417"/>
      <c r="F29" s="418"/>
      <c r="G29" s="353"/>
      <c r="H29" s="353"/>
      <c r="I29" s="375"/>
      <c r="J29" s="410"/>
      <c r="K29" s="374"/>
      <c r="L29" s="374"/>
      <c r="M29" s="375"/>
      <c r="N29" s="410"/>
      <c r="O29" s="374"/>
      <c r="P29" s="374"/>
      <c r="Q29" s="375"/>
      <c r="R29" s="410"/>
      <c r="S29" s="374"/>
      <c r="T29" s="374"/>
      <c r="U29" s="375"/>
      <c r="V29" s="410"/>
      <c r="W29" s="374"/>
      <c r="X29" s="374"/>
      <c r="Y29" s="375"/>
      <c r="Z29" s="410"/>
      <c r="AA29" s="374"/>
      <c r="AB29" s="374"/>
      <c r="AC29" s="375"/>
      <c r="AD29" s="418"/>
      <c r="AE29" s="353"/>
      <c r="AF29" s="353"/>
      <c r="AG29" s="419"/>
      <c r="AH29" s="349"/>
      <c r="AI29" s="353"/>
      <c r="AJ29" s="353"/>
      <c r="AK29" s="419"/>
      <c r="AL29" s="349"/>
      <c r="AM29" s="353"/>
      <c r="AN29" s="353"/>
      <c r="AO29" s="350"/>
      <c r="AP29" s="370"/>
      <c r="AQ29" s="374"/>
      <c r="AR29" s="374"/>
      <c r="AS29" s="376"/>
      <c r="AT29" s="349"/>
      <c r="AU29" s="353"/>
      <c r="AV29" s="353"/>
      <c r="AW29" s="350"/>
      <c r="AX29" s="338"/>
      <c r="AY29" s="339"/>
      <c r="AZ29" s="339"/>
      <c r="BA29" s="406"/>
      <c r="BB29" s="349"/>
      <c r="BC29" s="353"/>
      <c r="BD29" s="353"/>
      <c r="BE29" s="350"/>
      <c r="BF29" s="420"/>
      <c r="BG29" s="421"/>
      <c r="BH29" s="421"/>
      <c r="BI29" s="422"/>
      <c r="BJ29" s="349"/>
      <c r="BK29" s="353"/>
      <c r="BL29" s="353"/>
      <c r="BM29" s="350"/>
      <c r="BN29" s="349"/>
      <c r="BO29" s="353"/>
      <c r="BP29" s="353"/>
      <c r="BQ29" s="350"/>
      <c r="BR29" s="349"/>
      <c r="BS29" s="353"/>
      <c r="BT29" s="353"/>
      <c r="BU29" s="350"/>
      <c r="BV29" s="341"/>
      <c r="BW29" s="332"/>
      <c r="BX29" s="332"/>
      <c r="BY29" s="334"/>
      <c r="BZ29" s="335"/>
      <c r="CA29" s="336"/>
      <c r="CB29" s="336"/>
      <c r="CC29" s="337"/>
      <c r="CD29" s="920"/>
      <c r="CE29" s="365"/>
      <c r="CF29" s="365"/>
      <c r="CG29" s="408"/>
      <c r="CH29" s="367"/>
      <c r="CI29" s="368"/>
      <c r="CJ29" s="368"/>
      <c r="CK29" s="409"/>
      <c r="CL29" s="370"/>
      <c r="CM29" s="374"/>
      <c r="CN29" s="374"/>
      <c r="CO29" s="376"/>
      <c r="CP29" s="370"/>
      <c r="CQ29" s="410"/>
      <c r="CR29" s="410"/>
      <c r="CS29" s="411"/>
      <c r="CT29" s="370"/>
      <c r="CU29" s="374"/>
      <c r="CV29" s="374"/>
      <c r="CW29" s="376"/>
      <c r="CX29" s="370"/>
      <c r="CY29" s="410"/>
      <c r="CZ29" s="410"/>
      <c r="DA29" s="412"/>
    </row>
    <row r="30" spans="1:105" s="327" customFormat="1" ht="14.25" x14ac:dyDescent="0.3">
      <c r="A30" s="372" t="s">
        <v>39</v>
      </c>
      <c r="B30" s="403"/>
      <c r="C30" s="329"/>
      <c r="D30" s="329"/>
      <c r="E30" s="330"/>
      <c r="F30" s="404"/>
      <c r="G30" s="332"/>
      <c r="H30" s="332"/>
      <c r="I30" s="337"/>
      <c r="J30" s="405"/>
      <c r="K30" s="336"/>
      <c r="L30" s="336"/>
      <c r="M30" s="337"/>
      <c r="N30" s="405"/>
      <c r="O30" s="336"/>
      <c r="P30" s="336"/>
      <c r="Q30" s="337"/>
      <c r="R30" s="405"/>
      <c r="S30" s="336"/>
      <c r="T30" s="336"/>
      <c r="U30" s="337"/>
      <c r="V30" s="405"/>
      <c r="W30" s="336"/>
      <c r="X30" s="336"/>
      <c r="Y30" s="337"/>
      <c r="Z30" s="405"/>
      <c r="AA30" s="336"/>
      <c r="AB30" s="336"/>
      <c r="AC30" s="337"/>
      <c r="AD30" s="404"/>
      <c r="AE30" s="332"/>
      <c r="AF30" s="332"/>
      <c r="AG30" s="333"/>
      <c r="AH30" s="331"/>
      <c r="AI30" s="332"/>
      <c r="AJ30" s="332"/>
      <c r="AK30" s="333"/>
      <c r="AL30" s="331">
        <v>-98759</v>
      </c>
      <c r="AM30" s="332">
        <v>-74533</v>
      </c>
      <c r="AN30" s="332">
        <v>-255498</v>
      </c>
      <c r="AO30" s="334">
        <v>-294266</v>
      </c>
      <c r="AP30" s="335"/>
      <c r="AQ30" s="336"/>
      <c r="AR30" s="336"/>
      <c r="AS30" s="357"/>
      <c r="AT30" s="331"/>
      <c r="AU30" s="332"/>
      <c r="AV30" s="332"/>
      <c r="AW30" s="334"/>
      <c r="AX30" s="338"/>
      <c r="AY30" s="339"/>
      <c r="AZ30" s="339"/>
      <c r="BA30" s="406"/>
      <c r="BB30" s="331"/>
      <c r="BC30" s="332"/>
      <c r="BD30" s="332"/>
      <c r="BE30" s="334"/>
      <c r="BF30" s="331"/>
      <c r="BG30" s="332"/>
      <c r="BH30" s="332"/>
      <c r="BI30" s="334"/>
      <c r="BJ30" s="331"/>
      <c r="BK30" s="332"/>
      <c r="BL30" s="332"/>
      <c r="BM30" s="334"/>
      <c r="BN30" s="331"/>
      <c r="BO30" s="332"/>
      <c r="BP30" s="332"/>
      <c r="BQ30" s="334"/>
      <c r="BR30" s="331"/>
      <c r="BS30" s="332"/>
      <c r="BT30" s="332"/>
      <c r="BU30" s="334"/>
      <c r="BV30" s="341"/>
      <c r="BW30" s="332"/>
      <c r="BX30" s="332"/>
      <c r="BY30" s="334"/>
      <c r="BZ30" s="335"/>
      <c r="CA30" s="336"/>
      <c r="CB30" s="336"/>
      <c r="CC30" s="337"/>
      <c r="CD30" s="920"/>
      <c r="CE30" s="365"/>
      <c r="CF30" s="365"/>
      <c r="CG30" s="408"/>
      <c r="CH30" s="367"/>
      <c r="CI30" s="368"/>
      <c r="CJ30" s="368"/>
      <c r="CK30" s="409"/>
      <c r="CL30" s="335"/>
      <c r="CM30" s="336"/>
      <c r="CN30" s="336"/>
      <c r="CO30" s="357"/>
      <c r="CP30" s="370">
        <f t="shared" si="2"/>
        <v>-98759</v>
      </c>
      <c r="CQ30" s="410">
        <f t="shared" si="2"/>
        <v>-74533</v>
      </c>
      <c r="CR30" s="410">
        <f t="shared" si="2"/>
        <v>-255498</v>
      </c>
      <c r="CS30" s="411">
        <f t="shared" si="2"/>
        <v>-294266</v>
      </c>
      <c r="CT30" s="367"/>
      <c r="CU30" s="368"/>
      <c r="CV30" s="368"/>
      <c r="CW30" s="409"/>
      <c r="CX30" s="370">
        <f t="shared" si="3"/>
        <v>-98759</v>
      </c>
      <c r="CY30" s="410">
        <f t="shared" si="3"/>
        <v>-74533</v>
      </c>
      <c r="CZ30" s="410">
        <f t="shared" si="3"/>
        <v>-255498</v>
      </c>
      <c r="DA30" s="412">
        <f t="shared" si="3"/>
        <v>-294266</v>
      </c>
    </row>
    <row r="31" spans="1:105" s="327" customFormat="1" ht="14.25" x14ac:dyDescent="0.3">
      <c r="A31" s="372" t="s">
        <v>40</v>
      </c>
      <c r="B31" s="403"/>
      <c r="C31" s="329"/>
      <c r="D31" s="329"/>
      <c r="E31" s="330"/>
      <c r="F31" s="404"/>
      <c r="G31" s="332"/>
      <c r="H31" s="332"/>
      <c r="I31" s="337"/>
      <c r="J31" s="405"/>
      <c r="K31" s="336"/>
      <c r="L31" s="336"/>
      <c r="M31" s="337"/>
      <c r="N31" s="405"/>
      <c r="O31" s="336"/>
      <c r="P31" s="336"/>
      <c r="Q31" s="337"/>
      <c r="R31" s="405"/>
      <c r="S31" s="336"/>
      <c r="T31" s="336"/>
      <c r="U31" s="337"/>
      <c r="V31" s="405"/>
      <c r="W31" s="336"/>
      <c r="X31" s="336"/>
      <c r="Y31" s="337"/>
      <c r="Z31" s="405"/>
      <c r="AA31" s="336"/>
      <c r="AB31" s="336"/>
      <c r="AC31" s="337"/>
      <c r="AD31" s="404"/>
      <c r="AE31" s="332"/>
      <c r="AF31" s="332"/>
      <c r="AG31" s="333"/>
      <c r="AH31" s="331"/>
      <c r="AI31" s="332"/>
      <c r="AJ31" s="332"/>
      <c r="AK31" s="333"/>
      <c r="AL31" s="331"/>
      <c r="AM31" s="332"/>
      <c r="AN31" s="332"/>
      <c r="AO31" s="334"/>
      <c r="AP31" s="335"/>
      <c r="AQ31" s="336"/>
      <c r="AR31" s="336"/>
      <c r="AS31" s="357"/>
      <c r="AT31" s="331"/>
      <c r="AU31" s="332"/>
      <c r="AV31" s="332"/>
      <c r="AW31" s="334"/>
      <c r="AX31" s="338"/>
      <c r="AY31" s="339"/>
      <c r="AZ31" s="339"/>
      <c r="BA31" s="406"/>
      <c r="BB31" s="331"/>
      <c r="BC31" s="332"/>
      <c r="BD31" s="332"/>
      <c r="BE31" s="334"/>
      <c r="BF31" s="331"/>
      <c r="BG31" s="332"/>
      <c r="BH31" s="332"/>
      <c r="BI31" s="334"/>
      <c r="BJ31" s="331"/>
      <c r="BK31" s="332"/>
      <c r="BL31" s="332"/>
      <c r="BM31" s="334"/>
      <c r="BN31" s="331"/>
      <c r="BO31" s="332"/>
      <c r="BP31" s="332"/>
      <c r="BQ31" s="334"/>
      <c r="BR31" s="331"/>
      <c r="BS31" s="332"/>
      <c r="BT31" s="332"/>
      <c r="BU31" s="334"/>
      <c r="BV31" s="341"/>
      <c r="BW31" s="332"/>
      <c r="BX31" s="332"/>
      <c r="BY31" s="334"/>
      <c r="BZ31" s="335"/>
      <c r="CA31" s="336"/>
      <c r="CB31" s="336"/>
      <c r="CC31" s="337"/>
      <c r="CD31" s="920"/>
      <c r="CE31" s="365"/>
      <c r="CF31" s="365"/>
      <c r="CG31" s="408"/>
      <c r="CH31" s="367"/>
      <c r="CI31" s="368"/>
      <c r="CJ31" s="368"/>
      <c r="CK31" s="409"/>
      <c r="CL31" s="335"/>
      <c r="CM31" s="336"/>
      <c r="CN31" s="336"/>
      <c r="CO31" s="357"/>
      <c r="CP31" s="370"/>
      <c r="CQ31" s="410"/>
      <c r="CR31" s="410"/>
      <c r="CS31" s="411"/>
      <c r="CT31" s="367"/>
      <c r="CU31" s="368"/>
      <c r="CV31" s="368"/>
      <c r="CW31" s="409"/>
      <c r="CX31" s="370"/>
      <c r="CY31" s="410"/>
      <c r="CZ31" s="410"/>
      <c r="DA31" s="412"/>
    </row>
    <row r="32" spans="1:105" s="327" customFormat="1" ht="14.25" x14ac:dyDescent="0.3">
      <c r="A32" s="372" t="s">
        <v>57</v>
      </c>
      <c r="B32" s="403"/>
      <c r="C32" s="329"/>
      <c r="D32" s="329"/>
      <c r="E32" s="330"/>
      <c r="F32" s="404"/>
      <c r="G32" s="332"/>
      <c r="H32" s="332"/>
      <c r="I32" s="337"/>
      <c r="J32" s="405"/>
      <c r="K32" s="336"/>
      <c r="L32" s="336"/>
      <c r="M32" s="337"/>
      <c r="N32" s="405"/>
      <c r="O32" s="336"/>
      <c r="P32" s="336"/>
      <c r="Q32" s="337"/>
      <c r="R32" s="405"/>
      <c r="S32" s="336"/>
      <c r="T32" s="336"/>
      <c r="U32" s="337"/>
      <c r="V32" s="405"/>
      <c r="W32" s="336"/>
      <c r="X32" s="336"/>
      <c r="Y32" s="337"/>
      <c r="Z32" s="405"/>
      <c r="AA32" s="336"/>
      <c r="AB32" s="336"/>
      <c r="AC32" s="337"/>
      <c r="AD32" s="404"/>
      <c r="AE32" s="332"/>
      <c r="AF32" s="332"/>
      <c r="AG32" s="333"/>
      <c r="AH32" s="331"/>
      <c r="AI32" s="332"/>
      <c r="AJ32" s="332"/>
      <c r="AK32" s="333"/>
      <c r="AL32" s="331"/>
      <c r="AM32" s="332"/>
      <c r="AN32" s="332"/>
      <c r="AO32" s="334"/>
      <c r="AP32" s="335"/>
      <c r="AQ32" s="336"/>
      <c r="AR32" s="336"/>
      <c r="AS32" s="357"/>
      <c r="AT32" s="331"/>
      <c r="AU32" s="332"/>
      <c r="AV32" s="332"/>
      <c r="AW32" s="334"/>
      <c r="AX32" s="338"/>
      <c r="AY32" s="339"/>
      <c r="AZ32" s="339"/>
      <c r="BA32" s="406"/>
      <c r="BB32" s="331"/>
      <c r="BC32" s="332"/>
      <c r="BD32" s="332"/>
      <c r="BE32" s="334"/>
      <c r="BF32" s="331"/>
      <c r="BG32" s="332"/>
      <c r="BH32" s="332"/>
      <c r="BI32" s="334"/>
      <c r="BJ32" s="331"/>
      <c r="BK32" s="332"/>
      <c r="BL32" s="332"/>
      <c r="BM32" s="334"/>
      <c r="BN32" s="331"/>
      <c r="BO32" s="332"/>
      <c r="BP32" s="332"/>
      <c r="BQ32" s="334"/>
      <c r="BR32" s="331"/>
      <c r="BS32" s="332"/>
      <c r="BT32" s="332"/>
      <c r="BU32" s="334"/>
      <c r="BV32" s="341"/>
      <c r="BW32" s="332"/>
      <c r="BX32" s="332"/>
      <c r="BY32" s="334"/>
      <c r="BZ32" s="335"/>
      <c r="CA32" s="336"/>
      <c r="CB32" s="336"/>
      <c r="CC32" s="337"/>
      <c r="CD32" s="920"/>
      <c r="CE32" s="365"/>
      <c r="CF32" s="365"/>
      <c r="CG32" s="408"/>
      <c r="CH32" s="367"/>
      <c r="CI32" s="368"/>
      <c r="CJ32" s="368"/>
      <c r="CK32" s="409"/>
      <c r="CL32" s="335"/>
      <c r="CM32" s="336"/>
      <c r="CN32" s="336"/>
      <c r="CO32" s="357"/>
      <c r="CP32" s="370"/>
      <c r="CQ32" s="410"/>
      <c r="CR32" s="410"/>
      <c r="CS32" s="411"/>
      <c r="CT32" s="367"/>
      <c r="CU32" s="368"/>
      <c r="CV32" s="368"/>
      <c r="CW32" s="409"/>
      <c r="CX32" s="370"/>
      <c r="CY32" s="410"/>
      <c r="CZ32" s="410"/>
      <c r="DA32" s="412"/>
    </row>
    <row r="33" spans="1:105" s="327" customFormat="1" thickBot="1" x14ac:dyDescent="0.35">
      <c r="A33" s="471" t="s">
        <v>61</v>
      </c>
      <c r="B33" s="423"/>
      <c r="C33" s="424"/>
      <c r="D33" s="424"/>
      <c r="E33" s="425"/>
      <c r="F33" s="426"/>
      <c r="G33" s="427"/>
      <c r="H33" s="427"/>
      <c r="I33" s="428"/>
      <c r="J33" s="429"/>
      <c r="K33" s="430"/>
      <c r="L33" s="430"/>
      <c r="M33" s="428"/>
      <c r="N33" s="429"/>
      <c r="O33" s="430"/>
      <c r="P33" s="430"/>
      <c r="Q33" s="428"/>
      <c r="R33" s="429"/>
      <c r="S33" s="430"/>
      <c r="T33" s="430"/>
      <c r="U33" s="428"/>
      <c r="V33" s="429"/>
      <c r="W33" s="430"/>
      <c r="X33" s="430"/>
      <c r="Y33" s="428"/>
      <c r="Z33" s="429"/>
      <c r="AA33" s="430"/>
      <c r="AB33" s="430"/>
      <c r="AC33" s="428"/>
      <c r="AD33" s="426"/>
      <c r="AE33" s="427"/>
      <c r="AF33" s="427"/>
      <c r="AG33" s="431"/>
      <c r="AH33" s="432"/>
      <c r="AI33" s="427"/>
      <c r="AJ33" s="427"/>
      <c r="AK33" s="431"/>
      <c r="AL33" s="432"/>
      <c r="AM33" s="427"/>
      <c r="AN33" s="427"/>
      <c r="AO33" s="433"/>
      <c r="AP33" s="434"/>
      <c r="AQ33" s="430"/>
      <c r="AR33" s="430"/>
      <c r="AS33" s="435"/>
      <c r="AT33" s="432"/>
      <c r="AU33" s="427"/>
      <c r="AV33" s="427"/>
      <c r="AW33" s="433"/>
      <c r="AX33" s="436"/>
      <c r="AY33" s="437"/>
      <c r="AZ33" s="437"/>
      <c r="BA33" s="438"/>
      <c r="BB33" s="432"/>
      <c r="BC33" s="427"/>
      <c r="BD33" s="427"/>
      <c r="BE33" s="433"/>
      <c r="BF33" s="432"/>
      <c r="BG33" s="427"/>
      <c r="BH33" s="427"/>
      <c r="BI33" s="433"/>
      <c r="BJ33" s="432"/>
      <c r="BK33" s="427"/>
      <c r="BL33" s="427"/>
      <c r="BM33" s="433"/>
      <c r="BN33" s="432"/>
      <c r="BO33" s="427"/>
      <c r="BP33" s="427"/>
      <c r="BQ33" s="433"/>
      <c r="BR33" s="432"/>
      <c r="BS33" s="427"/>
      <c r="BT33" s="427"/>
      <c r="BU33" s="433"/>
      <c r="BV33" s="439"/>
      <c r="BW33" s="427"/>
      <c r="BX33" s="427"/>
      <c r="BY33" s="433"/>
      <c r="BZ33" s="931"/>
      <c r="CA33" s="932"/>
      <c r="CB33" s="932"/>
      <c r="CC33" s="933"/>
      <c r="CD33" s="921"/>
      <c r="CE33" s="440"/>
      <c r="CF33" s="440"/>
      <c r="CG33" s="441"/>
      <c r="CH33" s="442"/>
      <c r="CI33" s="443"/>
      <c r="CJ33" s="443"/>
      <c r="CK33" s="444"/>
      <c r="CL33" s="434"/>
      <c r="CM33" s="430"/>
      <c r="CN33" s="430"/>
      <c r="CO33" s="435"/>
      <c r="CP33" s="445"/>
      <c r="CQ33" s="446"/>
      <c r="CR33" s="446"/>
      <c r="CS33" s="447"/>
      <c r="CT33" s="442"/>
      <c r="CU33" s="443"/>
      <c r="CV33" s="443"/>
      <c r="CW33" s="444"/>
      <c r="CX33" s="445"/>
      <c r="CY33" s="446"/>
      <c r="CZ33" s="446"/>
      <c r="DA33" s="448"/>
    </row>
    <row r="34" spans="1:105" s="497" customFormat="1" thickBot="1" x14ac:dyDescent="0.35">
      <c r="A34" s="449" t="s">
        <v>62</v>
      </c>
      <c r="B34" s="475">
        <f>SUM(B6:B33)</f>
        <v>11473879</v>
      </c>
      <c r="C34" s="476">
        <f t="shared" ref="C34:BJ34" si="4">SUM(C6:C33)</f>
        <v>11057908</v>
      </c>
      <c r="D34" s="476">
        <f t="shared" si="4"/>
        <v>37292101</v>
      </c>
      <c r="E34" s="475">
        <f t="shared" si="4"/>
        <v>36886023</v>
      </c>
      <c r="F34" s="477">
        <f t="shared" si="4"/>
        <v>643501</v>
      </c>
      <c r="G34" s="478">
        <f t="shared" si="4"/>
        <v>772005</v>
      </c>
      <c r="H34" s="478">
        <f t="shared" si="4"/>
        <v>1971887</v>
      </c>
      <c r="I34" s="479">
        <f t="shared" si="4"/>
        <v>2361471</v>
      </c>
      <c r="J34" s="477">
        <f t="shared" si="4"/>
        <v>2741038</v>
      </c>
      <c r="K34" s="478">
        <f t="shared" si="4"/>
        <v>3690152</v>
      </c>
      <c r="L34" s="478">
        <f t="shared" si="4"/>
        <v>8224775</v>
      </c>
      <c r="M34" s="479">
        <f t="shared" si="4"/>
        <v>11288996</v>
      </c>
      <c r="N34" s="477">
        <f t="shared" si="4"/>
        <v>12783129</v>
      </c>
      <c r="O34" s="478">
        <f t="shared" si="4"/>
        <v>18817547</v>
      </c>
      <c r="P34" s="478">
        <f t="shared" si="4"/>
        <v>38040028</v>
      </c>
      <c r="Q34" s="479">
        <f t="shared" si="4"/>
        <v>56578477</v>
      </c>
      <c r="R34" s="477">
        <f t="shared" si="4"/>
        <v>909826</v>
      </c>
      <c r="S34" s="478">
        <f t="shared" si="4"/>
        <v>1258003</v>
      </c>
      <c r="T34" s="478">
        <f t="shared" si="4"/>
        <v>3180471</v>
      </c>
      <c r="U34" s="479">
        <f t="shared" si="4"/>
        <v>3937350</v>
      </c>
      <c r="V34" s="477">
        <f t="shared" si="4"/>
        <v>3078158</v>
      </c>
      <c r="W34" s="478">
        <f t="shared" si="4"/>
        <v>3975460</v>
      </c>
      <c r="X34" s="478">
        <f t="shared" si="4"/>
        <v>11626307</v>
      </c>
      <c r="Y34" s="479">
        <f t="shared" si="4"/>
        <v>13603751</v>
      </c>
      <c r="Z34" s="477">
        <f t="shared" si="4"/>
        <v>788885</v>
      </c>
      <c r="AA34" s="478">
        <f t="shared" si="4"/>
        <v>574228</v>
      </c>
      <c r="AB34" s="478">
        <f t="shared" si="4"/>
        <v>2294670</v>
      </c>
      <c r="AC34" s="479">
        <f t="shared" si="4"/>
        <v>1704844</v>
      </c>
      <c r="AD34" s="477">
        <f t="shared" si="4"/>
        <v>180827</v>
      </c>
      <c r="AE34" s="478">
        <f t="shared" si="4"/>
        <v>169009</v>
      </c>
      <c r="AF34" s="478">
        <f t="shared" si="4"/>
        <v>463319</v>
      </c>
      <c r="AG34" s="479">
        <f t="shared" si="4"/>
        <v>513662</v>
      </c>
      <c r="AH34" s="478">
        <f t="shared" si="4"/>
        <v>2673081</v>
      </c>
      <c r="AI34" s="478">
        <f t="shared" si="4"/>
        <v>2871876</v>
      </c>
      <c r="AJ34" s="478">
        <f t="shared" si="4"/>
        <v>8494747</v>
      </c>
      <c r="AK34" s="479">
        <f t="shared" si="4"/>
        <v>8484521</v>
      </c>
      <c r="AL34" s="478">
        <f t="shared" si="4"/>
        <v>759161</v>
      </c>
      <c r="AM34" s="478">
        <f t="shared" si="4"/>
        <v>942885</v>
      </c>
      <c r="AN34" s="478">
        <f t="shared" si="4"/>
        <v>2367611</v>
      </c>
      <c r="AO34" s="480">
        <f t="shared" si="4"/>
        <v>2859019</v>
      </c>
      <c r="AP34" s="478">
        <f t="shared" si="4"/>
        <v>28497849</v>
      </c>
      <c r="AQ34" s="478">
        <f t="shared" si="4"/>
        <v>30766921</v>
      </c>
      <c r="AR34" s="478">
        <f t="shared" si="4"/>
        <v>89929535</v>
      </c>
      <c r="AS34" s="480">
        <f t="shared" si="4"/>
        <v>85623008</v>
      </c>
      <c r="AT34" s="478">
        <f t="shared" si="4"/>
        <v>33087631</v>
      </c>
      <c r="AU34" s="478">
        <f t="shared" si="4"/>
        <v>46708952</v>
      </c>
      <c r="AV34" s="478">
        <f t="shared" si="4"/>
        <v>97147802</v>
      </c>
      <c r="AW34" s="480">
        <f t="shared" si="4"/>
        <v>126883871</v>
      </c>
      <c r="AX34" s="478">
        <f t="shared" si="4"/>
        <v>1285522</v>
      </c>
      <c r="AY34" s="478">
        <f t="shared" si="4"/>
        <v>1045740</v>
      </c>
      <c r="AZ34" s="478">
        <f t="shared" si="4"/>
        <v>3624664</v>
      </c>
      <c r="BA34" s="480">
        <f t="shared" si="4"/>
        <v>3513460</v>
      </c>
      <c r="BB34" s="478">
        <f t="shared" si="4"/>
        <v>1921718</v>
      </c>
      <c r="BC34" s="478">
        <f t="shared" si="4"/>
        <v>1792603</v>
      </c>
      <c r="BD34" s="478">
        <f t="shared" si="4"/>
        <v>7938011</v>
      </c>
      <c r="BE34" s="480">
        <f t="shared" si="4"/>
        <v>6192746</v>
      </c>
      <c r="BF34" s="478">
        <f t="shared" si="4"/>
        <v>5820551</v>
      </c>
      <c r="BG34" s="478">
        <f t="shared" si="4"/>
        <v>6166771</v>
      </c>
      <c r="BH34" s="478">
        <f t="shared" si="4"/>
        <v>21079342</v>
      </c>
      <c r="BI34" s="480">
        <f t="shared" si="4"/>
        <v>18265092</v>
      </c>
      <c r="BJ34" s="478">
        <f t="shared" si="4"/>
        <v>13771575</v>
      </c>
      <c r="BK34" s="481">
        <f>SUM(BK6:BK33)</f>
        <v>12433717</v>
      </c>
      <c r="BL34" s="481">
        <f t="shared" ref="BL34:BU34" si="5">SUM(BL6:BL33)</f>
        <v>38596423</v>
      </c>
      <c r="BM34" s="482">
        <f t="shared" si="5"/>
        <v>35172203</v>
      </c>
      <c r="BN34" s="478">
        <f t="shared" si="5"/>
        <v>4265145</v>
      </c>
      <c r="BO34" s="478">
        <f t="shared" si="5"/>
        <v>4966976</v>
      </c>
      <c r="BP34" s="478">
        <f t="shared" si="5"/>
        <v>13642176</v>
      </c>
      <c r="BQ34" s="480">
        <f t="shared" si="5"/>
        <v>14505678</v>
      </c>
      <c r="BR34" s="478">
        <f t="shared" si="5"/>
        <v>5763319</v>
      </c>
      <c r="BS34" s="478">
        <f t="shared" si="5"/>
        <v>7579849</v>
      </c>
      <c r="BT34" s="478">
        <f t="shared" si="5"/>
        <v>19701779</v>
      </c>
      <c r="BU34" s="480">
        <f t="shared" si="5"/>
        <v>20900146</v>
      </c>
      <c r="BV34" s="483"/>
      <c r="BW34" s="484"/>
      <c r="BX34" s="484"/>
      <c r="BY34" s="936"/>
      <c r="BZ34" s="520">
        <v>32569424</v>
      </c>
      <c r="CA34" s="520">
        <v>29029374</v>
      </c>
      <c r="CB34" s="520">
        <v>81750542</v>
      </c>
      <c r="CC34" s="520">
        <v>81893689</v>
      </c>
      <c r="CD34" s="485">
        <v>1498897</v>
      </c>
      <c r="CE34" s="486">
        <v>1312423</v>
      </c>
      <c r="CF34" s="486">
        <v>3909319</v>
      </c>
      <c r="CG34" s="487">
        <v>4088246</v>
      </c>
      <c r="CH34" s="488">
        <v>2400253</v>
      </c>
      <c r="CI34" s="489">
        <v>2343709</v>
      </c>
      <c r="CJ34" s="489">
        <v>330374</v>
      </c>
      <c r="CK34" s="490">
        <v>6824351</v>
      </c>
      <c r="CL34" s="491">
        <v>3781266</v>
      </c>
      <c r="CM34" s="492">
        <v>4966608</v>
      </c>
      <c r="CN34" s="492">
        <v>12678422</v>
      </c>
      <c r="CO34" s="493">
        <v>16445179</v>
      </c>
      <c r="CP34" s="491">
        <f t="shared" si="2"/>
        <v>170694635</v>
      </c>
      <c r="CQ34" s="494">
        <f t="shared" si="2"/>
        <v>193242716</v>
      </c>
      <c r="CR34" s="494">
        <f t="shared" si="2"/>
        <v>504284305</v>
      </c>
      <c r="CS34" s="495">
        <f t="shared" si="2"/>
        <v>558525783</v>
      </c>
      <c r="CT34" s="491">
        <v>603057622</v>
      </c>
      <c r="CU34" s="492">
        <v>453953882</v>
      </c>
      <c r="CV34" s="492">
        <v>1623920271</v>
      </c>
      <c r="CW34" s="493">
        <v>1209019175</v>
      </c>
      <c r="CX34" s="491">
        <f t="shared" si="3"/>
        <v>773752257</v>
      </c>
      <c r="CY34" s="494">
        <f t="shared" si="3"/>
        <v>647196598</v>
      </c>
      <c r="CZ34" s="494">
        <f t="shared" si="3"/>
        <v>2128204576</v>
      </c>
      <c r="DA34" s="496">
        <f t="shared" si="3"/>
        <v>1767544958</v>
      </c>
    </row>
    <row r="35" spans="1:105" s="327" customFormat="1" thickBot="1" x14ac:dyDescent="0.35">
      <c r="A35" s="472" t="s">
        <v>63</v>
      </c>
      <c r="B35" s="450"/>
      <c r="C35" s="451"/>
      <c r="D35" s="451"/>
      <c r="E35" s="452"/>
      <c r="F35" s="451"/>
      <c r="G35" s="451"/>
      <c r="H35" s="451"/>
      <c r="I35" s="453"/>
      <c r="J35" s="454"/>
      <c r="K35" s="454"/>
      <c r="L35" s="454"/>
      <c r="M35" s="453"/>
      <c r="N35" s="454"/>
      <c r="O35" s="454"/>
      <c r="P35" s="454"/>
      <c r="Q35" s="453"/>
      <c r="R35" s="454"/>
      <c r="S35" s="454"/>
      <c r="T35" s="454"/>
      <c r="U35" s="453"/>
      <c r="V35" s="454"/>
      <c r="W35" s="454"/>
      <c r="X35" s="454"/>
      <c r="Y35" s="453"/>
      <c r="Z35" s="454"/>
      <c r="AA35" s="454"/>
      <c r="AB35" s="454"/>
      <c r="AC35" s="453"/>
      <c r="AD35" s="451"/>
      <c r="AE35" s="451"/>
      <c r="AF35" s="451"/>
      <c r="AG35" s="452"/>
      <c r="AH35" s="450"/>
      <c r="AI35" s="451"/>
      <c r="AJ35" s="451"/>
      <c r="AK35" s="452"/>
      <c r="AL35" s="450"/>
      <c r="AM35" s="451"/>
      <c r="AN35" s="451"/>
      <c r="AO35" s="451"/>
      <c r="AP35" s="455"/>
      <c r="AQ35" s="454"/>
      <c r="AR35" s="454"/>
      <c r="AS35" s="454"/>
      <c r="AT35" s="450"/>
      <c r="AU35" s="451"/>
      <c r="AV35" s="451"/>
      <c r="AW35" s="451"/>
      <c r="AX35" s="450"/>
      <c r="AY35" s="451"/>
      <c r="AZ35" s="451"/>
      <c r="BA35" s="451"/>
      <c r="BB35" s="450"/>
      <c r="BC35" s="451"/>
      <c r="BD35" s="451"/>
      <c r="BE35" s="451"/>
      <c r="BF35" s="450"/>
      <c r="BG35" s="451"/>
      <c r="BH35" s="451"/>
      <c r="BI35" s="451"/>
      <c r="BJ35" s="450"/>
      <c r="BK35" s="451"/>
      <c r="BL35" s="451"/>
      <c r="BM35" s="451"/>
      <c r="BN35" s="450"/>
      <c r="BO35" s="451"/>
      <c r="BP35" s="451"/>
      <c r="BQ35" s="451"/>
      <c r="BR35" s="450"/>
      <c r="BS35" s="451"/>
      <c r="BT35" s="451"/>
      <c r="BU35" s="451"/>
      <c r="BV35" s="937"/>
      <c r="BW35" s="938"/>
      <c r="BX35" s="938"/>
      <c r="BY35" s="939"/>
      <c r="BZ35" s="454"/>
      <c r="CA35" s="454"/>
      <c r="CB35" s="454"/>
      <c r="CC35" s="454"/>
      <c r="CD35" s="455"/>
      <c r="CE35" s="454"/>
      <c r="CF35" s="454"/>
      <c r="CG35" s="454"/>
      <c r="CH35" s="455"/>
      <c r="CI35" s="454"/>
      <c r="CJ35" s="454"/>
      <c r="CK35" s="454"/>
      <c r="CL35" s="455"/>
      <c r="CM35" s="454"/>
      <c r="CN35" s="454"/>
      <c r="CO35" s="454"/>
      <c r="CP35" s="456"/>
      <c r="CQ35" s="457"/>
      <c r="CR35" s="457"/>
      <c r="CS35" s="458"/>
      <c r="CT35" s="455"/>
      <c r="CU35" s="454"/>
      <c r="CV35" s="454"/>
      <c r="CW35" s="454"/>
      <c r="CX35" s="456"/>
      <c r="CY35" s="457"/>
      <c r="CZ35" s="457"/>
      <c r="DA35" s="459"/>
    </row>
    <row r="36" spans="1:105" s="327" customFormat="1" thickBot="1" x14ac:dyDescent="0.35">
      <c r="A36" s="472" t="s">
        <v>64</v>
      </c>
      <c r="B36" s="460">
        <f>B34</f>
        <v>11473879</v>
      </c>
      <c r="C36" s="461">
        <f t="shared" ref="C36:BO36" si="6">C34</f>
        <v>11057908</v>
      </c>
      <c r="D36" s="461">
        <f t="shared" si="6"/>
        <v>37292101</v>
      </c>
      <c r="E36" s="462">
        <f t="shared" si="6"/>
        <v>36886023</v>
      </c>
      <c r="F36" s="461">
        <f t="shared" si="6"/>
        <v>643501</v>
      </c>
      <c r="G36" s="461">
        <f t="shared" si="6"/>
        <v>772005</v>
      </c>
      <c r="H36" s="461">
        <f t="shared" si="6"/>
        <v>1971887</v>
      </c>
      <c r="I36" s="453">
        <f t="shared" si="6"/>
        <v>2361471</v>
      </c>
      <c r="J36" s="454">
        <f t="shared" si="6"/>
        <v>2741038</v>
      </c>
      <c r="K36" s="454">
        <f t="shared" si="6"/>
        <v>3690152</v>
      </c>
      <c r="L36" s="454">
        <f t="shared" si="6"/>
        <v>8224775</v>
      </c>
      <c r="M36" s="453">
        <f t="shared" si="6"/>
        <v>11288996</v>
      </c>
      <c r="N36" s="454">
        <f t="shared" si="6"/>
        <v>12783129</v>
      </c>
      <c r="O36" s="454">
        <f t="shared" si="6"/>
        <v>18817547</v>
      </c>
      <c r="P36" s="454">
        <f t="shared" si="6"/>
        <v>38040028</v>
      </c>
      <c r="Q36" s="453">
        <f t="shared" si="6"/>
        <v>56578477</v>
      </c>
      <c r="R36" s="454">
        <f t="shared" si="6"/>
        <v>909826</v>
      </c>
      <c r="S36" s="454">
        <f t="shared" si="6"/>
        <v>1258003</v>
      </c>
      <c r="T36" s="454">
        <f t="shared" si="6"/>
        <v>3180471</v>
      </c>
      <c r="U36" s="453">
        <f t="shared" si="6"/>
        <v>3937350</v>
      </c>
      <c r="V36" s="454">
        <f t="shared" si="6"/>
        <v>3078158</v>
      </c>
      <c r="W36" s="454">
        <f t="shared" si="6"/>
        <v>3975460</v>
      </c>
      <c r="X36" s="454">
        <f t="shared" si="6"/>
        <v>11626307</v>
      </c>
      <c r="Y36" s="453">
        <f t="shared" si="6"/>
        <v>13603751</v>
      </c>
      <c r="Z36" s="454">
        <f t="shared" si="6"/>
        <v>788885</v>
      </c>
      <c r="AA36" s="454">
        <f t="shared" si="6"/>
        <v>574228</v>
      </c>
      <c r="AB36" s="454">
        <f t="shared" si="6"/>
        <v>2294670</v>
      </c>
      <c r="AC36" s="453">
        <f t="shared" si="6"/>
        <v>1704844</v>
      </c>
      <c r="AD36" s="454">
        <f t="shared" si="6"/>
        <v>180827</v>
      </c>
      <c r="AE36" s="454">
        <f t="shared" si="6"/>
        <v>169009</v>
      </c>
      <c r="AF36" s="454">
        <f t="shared" si="6"/>
        <v>463319</v>
      </c>
      <c r="AG36" s="453">
        <f t="shared" si="6"/>
        <v>513662</v>
      </c>
      <c r="AH36" s="455">
        <f t="shared" si="6"/>
        <v>2673081</v>
      </c>
      <c r="AI36" s="454">
        <f t="shared" si="6"/>
        <v>2871876</v>
      </c>
      <c r="AJ36" s="454">
        <f t="shared" si="6"/>
        <v>8494747</v>
      </c>
      <c r="AK36" s="453">
        <f t="shared" si="6"/>
        <v>8484521</v>
      </c>
      <c r="AL36" s="455">
        <f t="shared" si="6"/>
        <v>759161</v>
      </c>
      <c r="AM36" s="454">
        <f t="shared" si="6"/>
        <v>942885</v>
      </c>
      <c r="AN36" s="454">
        <f t="shared" si="6"/>
        <v>2367611</v>
      </c>
      <c r="AO36" s="454">
        <f t="shared" si="6"/>
        <v>2859019</v>
      </c>
      <c r="AP36" s="455">
        <f t="shared" si="6"/>
        <v>28497849</v>
      </c>
      <c r="AQ36" s="454">
        <f t="shared" si="6"/>
        <v>30766921</v>
      </c>
      <c r="AR36" s="454">
        <f t="shared" si="6"/>
        <v>89929535</v>
      </c>
      <c r="AS36" s="454">
        <f t="shared" si="6"/>
        <v>85623008</v>
      </c>
      <c r="AT36" s="455">
        <v>34214503</v>
      </c>
      <c r="AU36" s="454">
        <v>47436876</v>
      </c>
      <c r="AV36" s="454">
        <v>99959377</v>
      </c>
      <c r="AW36" s="454">
        <v>128847804</v>
      </c>
      <c r="AX36" s="455">
        <f t="shared" si="6"/>
        <v>1285522</v>
      </c>
      <c r="AY36" s="454">
        <f t="shared" si="6"/>
        <v>1045740</v>
      </c>
      <c r="AZ36" s="454">
        <f t="shared" si="6"/>
        <v>3624664</v>
      </c>
      <c r="BA36" s="454">
        <f t="shared" si="6"/>
        <v>3513460</v>
      </c>
      <c r="BB36" s="455">
        <f t="shared" si="6"/>
        <v>1921718</v>
      </c>
      <c r="BC36" s="454">
        <f t="shared" si="6"/>
        <v>1792603</v>
      </c>
      <c r="BD36" s="454">
        <f t="shared" si="6"/>
        <v>7938011</v>
      </c>
      <c r="BE36" s="454">
        <f t="shared" si="6"/>
        <v>6192746</v>
      </c>
      <c r="BF36" s="455">
        <f t="shared" si="6"/>
        <v>5820551</v>
      </c>
      <c r="BG36" s="454">
        <f t="shared" si="6"/>
        <v>6166771</v>
      </c>
      <c r="BH36" s="454">
        <f t="shared" si="6"/>
        <v>21079342</v>
      </c>
      <c r="BI36" s="454">
        <f t="shared" si="6"/>
        <v>18265092</v>
      </c>
      <c r="BJ36" s="455">
        <f t="shared" si="6"/>
        <v>13771575</v>
      </c>
      <c r="BK36" s="454">
        <f t="shared" si="6"/>
        <v>12433717</v>
      </c>
      <c r="BL36" s="454">
        <f t="shared" si="6"/>
        <v>38596423</v>
      </c>
      <c r="BM36" s="454">
        <f t="shared" si="6"/>
        <v>35172203</v>
      </c>
      <c r="BN36" s="455">
        <f t="shared" si="6"/>
        <v>4265145</v>
      </c>
      <c r="BO36" s="454">
        <f t="shared" si="6"/>
        <v>4966976</v>
      </c>
      <c r="BP36" s="454">
        <f t="shared" ref="BP36:BU36" si="7">BP34</f>
        <v>13642176</v>
      </c>
      <c r="BQ36" s="454">
        <f t="shared" si="7"/>
        <v>14505678</v>
      </c>
      <c r="BR36" s="455">
        <f t="shared" si="7"/>
        <v>5763319</v>
      </c>
      <c r="BS36" s="454">
        <f t="shared" si="7"/>
        <v>7579849</v>
      </c>
      <c r="BT36" s="358">
        <f t="shared" si="7"/>
        <v>19701779</v>
      </c>
      <c r="BU36" s="358">
        <f t="shared" si="7"/>
        <v>20900146</v>
      </c>
      <c r="BV36" s="937"/>
      <c r="BW36" s="938"/>
      <c r="BX36" s="938"/>
      <c r="BY36" s="939"/>
      <c r="BZ36" s="454">
        <f>BZ34</f>
        <v>32569424</v>
      </c>
      <c r="CA36" s="454">
        <f>CA34</f>
        <v>29029374</v>
      </c>
      <c r="CB36" s="454">
        <f t="shared" ref="CB36:CO36" si="8">CB34</f>
        <v>81750542</v>
      </c>
      <c r="CC36" s="454">
        <f t="shared" si="8"/>
        <v>81893689</v>
      </c>
      <c r="CD36" s="455">
        <f t="shared" si="8"/>
        <v>1498897</v>
      </c>
      <c r="CE36" s="454">
        <f t="shared" si="8"/>
        <v>1312423</v>
      </c>
      <c r="CF36" s="454">
        <f t="shared" si="8"/>
        <v>3909319</v>
      </c>
      <c r="CG36" s="454">
        <f t="shared" si="8"/>
        <v>4088246</v>
      </c>
      <c r="CH36" s="455">
        <f t="shared" si="8"/>
        <v>2400253</v>
      </c>
      <c r="CI36" s="454">
        <f t="shared" si="8"/>
        <v>2343709</v>
      </c>
      <c r="CJ36" s="454">
        <f t="shared" si="8"/>
        <v>330374</v>
      </c>
      <c r="CK36" s="454">
        <f t="shared" si="8"/>
        <v>6824351</v>
      </c>
      <c r="CL36" s="455">
        <f t="shared" si="8"/>
        <v>3781266</v>
      </c>
      <c r="CM36" s="454">
        <f t="shared" si="8"/>
        <v>4966608</v>
      </c>
      <c r="CN36" s="454">
        <f t="shared" si="8"/>
        <v>12678422</v>
      </c>
      <c r="CO36" s="454">
        <f t="shared" si="8"/>
        <v>16445179</v>
      </c>
      <c r="CP36" s="456">
        <f t="shared" si="2"/>
        <v>171821507</v>
      </c>
      <c r="CQ36" s="457">
        <f t="shared" si="2"/>
        <v>193970640</v>
      </c>
      <c r="CR36" s="457">
        <f t="shared" si="2"/>
        <v>507095880</v>
      </c>
      <c r="CS36" s="458">
        <f t="shared" si="2"/>
        <v>560489716</v>
      </c>
      <c r="CT36" s="455">
        <f>CT34</f>
        <v>603057622</v>
      </c>
      <c r="CU36" s="454">
        <f>CU34</f>
        <v>453953882</v>
      </c>
      <c r="CV36" s="454">
        <f t="shared" ref="CV36:CW36" si="9">CV34</f>
        <v>1623920271</v>
      </c>
      <c r="CW36" s="454">
        <f t="shared" si="9"/>
        <v>1209019175</v>
      </c>
      <c r="CX36" s="456">
        <f t="shared" si="3"/>
        <v>774879129</v>
      </c>
      <c r="CY36" s="457">
        <f t="shared" si="3"/>
        <v>647924522</v>
      </c>
      <c r="CZ36" s="457">
        <f t="shared" si="3"/>
        <v>2131016151</v>
      </c>
      <c r="DA36" s="459">
        <f t="shared" si="3"/>
        <v>1769508891</v>
      </c>
    </row>
    <row r="37" spans="1:105" s="327" customFormat="1" ht="14.25" x14ac:dyDescent="0.3">
      <c r="A37" s="473" t="s">
        <v>65</v>
      </c>
      <c r="B37" s="413"/>
      <c r="C37" s="414"/>
      <c r="D37" s="414"/>
      <c r="E37" s="463"/>
      <c r="F37" s="414"/>
      <c r="G37" s="414"/>
      <c r="H37" s="414"/>
      <c r="I37" s="359"/>
      <c r="J37" s="358"/>
      <c r="K37" s="358"/>
      <c r="L37" s="358"/>
      <c r="M37" s="359"/>
      <c r="N37" s="358"/>
      <c r="O37" s="358"/>
      <c r="P37" s="358"/>
      <c r="Q37" s="359"/>
      <c r="R37" s="358"/>
      <c r="S37" s="358"/>
      <c r="T37" s="358"/>
      <c r="U37" s="359"/>
      <c r="V37" s="358"/>
      <c r="W37" s="358"/>
      <c r="X37" s="358"/>
      <c r="Y37" s="359"/>
      <c r="Z37" s="358"/>
      <c r="AA37" s="358"/>
      <c r="AB37" s="358"/>
      <c r="AC37" s="359"/>
      <c r="AD37" s="414"/>
      <c r="AE37" s="414"/>
      <c r="AF37" s="414"/>
      <c r="AG37" s="463"/>
      <c r="AH37" s="413"/>
      <c r="AI37" s="414"/>
      <c r="AJ37" s="414"/>
      <c r="AK37" s="463"/>
      <c r="AL37" s="413"/>
      <c r="AM37" s="414"/>
      <c r="AN37" s="414"/>
      <c r="AO37" s="414"/>
      <c r="AP37" s="360"/>
      <c r="AQ37" s="358"/>
      <c r="AR37" s="358"/>
      <c r="AS37" s="358"/>
      <c r="AT37" s="413"/>
      <c r="AU37" s="414"/>
      <c r="AV37" s="414"/>
      <c r="AW37" s="414"/>
      <c r="AX37" s="413"/>
      <c r="AY37" s="414"/>
      <c r="AZ37" s="414"/>
      <c r="BA37" s="414"/>
      <c r="BB37" s="413"/>
      <c r="BC37" s="414"/>
      <c r="BD37" s="414"/>
      <c r="BE37" s="414"/>
      <c r="BF37" s="413"/>
      <c r="BG37" s="414"/>
      <c r="BH37" s="414"/>
      <c r="BI37" s="414"/>
      <c r="BJ37" s="413"/>
      <c r="BK37" s="414"/>
      <c r="BL37" s="414"/>
      <c r="BM37" s="414"/>
      <c r="BN37" s="413"/>
      <c r="BO37" s="414"/>
      <c r="BP37" s="414"/>
      <c r="BQ37" s="414"/>
      <c r="BR37" s="413"/>
      <c r="BS37" s="414"/>
      <c r="BT37" s="942"/>
      <c r="BU37" s="943"/>
      <c r="BV37" s="940"/>
      <c r="BW37" s="934"/>
      <c r="BX37" s="934"/>
      <c r="BY37" s="935"/>
      <c r="BZ37" s="358"/>
      <c r="CA37" s="358"/>
      <c r="CB37" s="358"/>
      <c r="CC37" s="358"/>
      <c r="CD37" s="360"/>
      <c r="CE37" s="358"/>
      <c r="CF37" s="358"/>
      <c r="CG37" s="358"/>
      <c r="CH37" s="360"/>
      <c r="CI37" s="358"/>
      <c r="CJ37" s="358"/>
      <c r="CK37" s="358"/>
      <c r="CL37" s="360"/>
      <c r="CM37" s="358"/>
      <c r="CN37" s="358"/>
      <c r="CO37" s="358"/>
      <c r="CP37" s="464"/>
      <c r="CQ37" s="465"/>
      <c r="CR37" s="465"/>
      <c r="CS37" s="466"/>
      <c r="CT37" s="360"/>
      <c r="CU37" s="358"/>
      <c r="CV37" s="358"/>
      <c r="CW37" s="358"/>
      <c r="CX37" s="464"/>
      <c r="CY37" s="465"/>
      <c r="CZ37" s="465"/>
      <c r="DA37" s="467"/>
    </row>
    <row r="38" spans="1:105" s="497" customFormat="1" thickBot="1" x14ac:dyDescent="0.35">
      <c r="A38" s="382" t="s">
        <v>62</v>
      </c>
      <c r="B38" s="498">
        <f>B36</f>
        <v>11473879</v>
      </c>
      <c r="C38" s="499">
        <f t="shared" ref="C38:BN38" si="10">C36</f>
        <v>11057908</v>
      </c>
      <c r="D38" s="499">
        <f t="shared" si="10"/>
        <v>37292101</v>
      </c>
      <c r="E38" s="500">
        <f t="shared" si="10"/>
        <v>36886023</v>
      </c>
      <c r="F38" s="499">
        <f t="shared" si="10"/>
        <v>643501</v>
      </c>
      <c r="G38" s="499">
        <f t="shared" si="10"/>
        <v>772005</v>
      </c>
      <c r="H38" s="499">
        <f t="shared" si="10"/>
        <v>1971887</v>
      </c>
      <c r="I38" s="501">
        <f t="shared" si="10"/>
        <v>2361471</v>
      </c>
      <c r="J38" s="502">
        <f t="shared" si="10"/>
        <v>2741038</v>
      </c>
      <c r="K38" s="502">
        <f t="shared" si="10"/>
        <v>3690152</v>
      </c>
      <c r="L38" s="502">
        <f t="shared" si="10"/>
        <v>8224775</v>
      </c>
      <c r="M38" s="501">
        <f t="shared" si="10"/>
        <v>11288996</v>
      </c>
      <c r="N38" s="502">
        <f t="shared" si="10"/>
        <v>12783129</v>
      </c>
      <c r="O38" s="502">
        <f t="shared" si="10"/>
        <v>18817547</v>
      </c>
      <c r="P38" s="502">
        <f t="shared" si="10"/>
        <v>38040028</v>
      </c>
      <c r="Q38" s="501">
        <f t="shared" si="10"/>
        <v>56578477</v>
      </c>
      <c r="R38" s="502">
        <f t="shared" si="10"/>
        <v>909826</v>
      </c>
      <c r="S38" s="502">
        <f t="shared" si="10"/>
        <v>1258003</v>
      </c>
      <c r="T38" s="502">
        <f t="shared" si="10"/>
        <v>3180471</v>
      </c>
      <c r="U38" s="501">
        <f t="shared" si="10"/>
        <v>3937350</v>
      </c>
      <c r="V38" s="502">
        <f t="shared" si="10"/>
        <v>3078158</v>
      </c>
      <c r="W38" s="502">
        <f t="shared" si="10"/>
        <v>3975460</v>
      </c>
      <c r="X38" s="502">
        <f t="shared" si="10"/>
        <v>11626307</v>
      </c>
      <c r="Y38" s="501">
        <f t="shared" si="10"/>
        <v>13603751</v>
      </c>
      <c r="Z38" s="502">
        <f t="shared" si="10"/>
        <v>788885</v>
      </c>
      <c r="AA38" s="502">
        <f t="shared" si="10"/>
        <v>574228</v>
      </c>
      <c r="AB38" s="502">
        <f t="shared" si="10"/>
        <v>2294670</v>
      </c>
      <c r="AC38" s="501">
        <f t="shared" si="10"/>
        <v>1704844</v>
      </c>
      <c r="AD38" s="499">
        <f t="shared" si="10"/>
        <v>180827</v>
      </c>
      <c r="AE38" s="499">
        <f t="shared" si="10"/>
        <v>169009</v>
      </c>
      <c r="AF38" s="499">
        <f t="shared" si="10"/>
        <v>463319</v>
      </c>
      <c r="AG38" s="500">
        <f t="shared" si="10"/>
        <v>513662</v>
      </c>
      <c r="AH38" s="498">
        <f t="shared" si="10"/>
        <v>2673081</v>
      </c>
      <c r="AI38" s="499">
        <f t="shared" si="10"/>
        <v>2871876</v>
      </c>
      <c r="AJ38" s="499">
        <f t="shared" si="10"/>
        <v>8494747</v>
      </c>
      <c r="AK38" s="500">
        <f t="shared" si="10"/>
        <v>8484521</v>
      </c>
      <c r="AL38" s="498">
        <f t="shared" si="10"/>
        <v>759161</v>
      </c>
      <c r="AM38" s="499">
        <f t="shared" si="10"/>
        <v>942885</v>
      </c>
      <c r="AN38" s="499">
        <f t="shared" si="10"/>
        <v>2367611</v>
      </c>
      <c r="AO38" s="499">
        <f t="shared" si="10"/>
        <v>2859019</v>
      </c>
      <c r="AP38" s="503">
        <f t="shared" si="10"/>
        <v>28497849</v>
      </c>
      <c r="AQ38" s="502">
        <f t="shared" si="10"/>
        <v>30766921</v>
      </c>
      <c r="AR38" s="502">
        <f t="shared" si="10"/>
        <v>89929535</v>
      </c>
      <c r="AS38" s="502">
        <f t="shared" si="10"/>
        <v>85623008</v>
      </c>
      <c r="AT38" s="498">
        <f t="shared" si="10"/>
        <v>34214503</v>
      </c>
      <c r="AU38" s="499">
        <v>47436876</v>
      </c>
      <c r="AV38" s="499">
        <f t="shared" si="10"/>
        <v>99959377</v>
      </c>
      <c r="AW38" s="499">
        <f t="shared" si="10"/>
        <v>128847804</v>
      </c>
      <c r="AX38" s="498">
        <f t="shared" si="10"/>
        <v>1285522</v>
      </c>
      <c r="AY38" s="499">
        <f t="shared" si="10"/>
        <v>1045740</v>
      </c>
      <c r="AZ38" s="499">
        <f t="shared" si="10"/>
        <v>3624664</v>
      </c>
      <c r="BA38" s="499">
        <f t="shared" si="10"/>
        <v>3513460</v>
      </c>
      <c r="BB38" s="498">
        <f t="shared" si="10"/>
        <v>1921718</v>
      </c>
      <c r="BC38" s="499">
        <f t="shared" si="10"/>
        <v>1792603</v>
      </c>
      <c r="BD38" s="499">
        <f t="shared" si="10"/>
        <v>7938011</v>
      </c>
      <c r="BE38" s="499">
        <f t="shared" si="10"/>
        <v>6192746</v>
      </c>
      <c r="BF38" s="498">
        <f t="shared" si="10"/>
        <v>5820551</v>
      </c>
      <c r="BG38" s="499">
        <f t="shared" si="10"/>
        <v>6166771</v>
      </c>
      <c r="BH38" s="499">
        <f t="shared" si="10"/>
        <v>21079342</v>
      </c>
      <c r="BI38" s="499">
        <f t="shared" si="10"/>
        <v>18265092</v>
      </c>
      <c r="BJ38" s="498">
        <f t="shared" si="10"/>
        <v>13771575</v>
      </c>
      <c r="BK38" s="499">
        <f t="shared" si="10"/>
        <v>12433717</v>
      </c>
      <c r="BL38" s="499">
        <f t="shared" si="10"/>
        <v>38596423</v>
      </c>
      <c r="BM38" s="499">
        <f t="shared" si="10"/>
        <v>35172203</v>
      </c>
      <c r="BN38" s="498">
        <f t="shared" si="10"/>
        <v>4265145</v>
      </c>
      <c r="BO38" s="499">
        <f t="shared" ref="BO38:CO38" si="11">BO36</f>
        <v>4966976</v>
      </c>
      <c r="BP38" s="499">
        <f t="shared" si="11"/>
        <v>13642176</v>
      </c>
      <c r="BQ38" s="499">
        <f t="shared" si="11"/>
        <v>14505678</v>
      </c>
      <c r="BR38" s="498">
        <f t="shared" si="11"/>
        <v>5763319</v>
      </c>
      <c r="BS38" s="499">
        <f t="shared" si="11"/>
        <v>7579849</v>
      </c>
      <c r="BT38" s="917">
        <f t="shared" si="11"/>
        <v>19701779</v>
      </c>
      <c r="BU38" s="919">
        <f t="shared" si="11"/>
        <v>20900146</v>
      </c>
      <c r="BV38" s="941">
        <f t="shared" si="11"/>
        <v>0</v>
      </c>
      <c r="BW38" s="918">
        <f t="shared" si="11"/>
        <v>0</v>
      </c>
      <c r="BX38" s="918">
        <f t="shared" si="11"/>
        <v>0</v>
      </c>
      <c r="BY38" s="919">
        <f t="shared" si="11"/>
        <v>0</v>
      </c>
      <c r="BZ38" s="502">
        <f t="shared" si="11"/>
        <v>32569424</v>
      </c>
      <c r="CA38" s="502">
        <f t="shared" si="11"/>
        <v>29029374</v>
      </c>
      <c r="CB38" s="502">
        <f t="shared" si="11"/>
        <v>81750542</v>
      </c>
      <c r="CC38" s="502">
        <f t="shared" si="11"/>
        <v>81893689</v>
      </c>
      <c r="CD38" s="503">
        <f t="shared" si="11"/>
        <v>1498897</v>
      </c>
      <c r="CE38" s="502">
        <f t="shared" si="11"/>
        <v>1312423</v>
      </c>
      <c r="CF38" s="502">
        <f t="shared" si="11"/>
        <v>3909319</v>
      </c>
      <c r="CG38" s="502">
        <f t="shared" si="11"/>
        <v>4088246</v>
      </c>
      <c r="CH38" s="503">
        <f t="shared" si="11"/>
        <v>2400253</v>
      </c>
      <c r="CI38" s="502">
        <f t="shared" si="11"/>
        <v>2343709</v>
      </c>
      <c r="CJ38" s="502">
        <f t="shared" si="11"/>
        <v>330374</v>
      </c>
      <c r="CK38" s="502">
        <f t="shared" si="11"/>
        <v>6824351</v>
      </c>
      <c r="CL38" s="503">
        <f t="shared" si="11"/>
        <v>3781266</v>
      </c>
      <c r="CM38" s="502">
        <f t="shared" si="11"/>
        <v>4966608</v>
      </c>
      <c r="CN38" s="502">
        <f t="shared" si="11"/>
        <v>12678422</v>
      </c>
      <c r="CO38" s="502">
        <f t="shared" si="11"/>
        <v>16445179</v>
      </c>
      <c r="CP38" s="386">
        <f t="shared" si="2"/>
        <v>171821507</v>
      </c>
      <c r="CQ38" s="504">
        <f t="shared" si="2"/>
        <v>193970640</v>
      </c>
      <c r="CR38" s="504">
        <f t="shared" si="2"/>
        <v>507095880</v>
      </c>
      <c r="CS38" s="505">
        <f t="shared" si="2"/>
        <v>560489716</v>
      </c>
      <c r="CT38" s="503">
        <f>CT36</f>
        <v>603057622</v>
      </c>
      <c r="CU38" s="502">
        <f t="shared" ref="CU38:CW38" si="12">CU36</f>
        <v>453953882</v>
      </c>
      <c r="CV38" s="502">
        <f t="shared" si="12"/>
        <v>1623920271</v>
      </c>
      <c r="CW38" s="502">
        <f t="shared" si="12"/>
        <v>1209019175</v>
      </c>
      <c r="CX38" s="386">
        <f t="shared" si="3"/>
        <v>774879129</v>
      </c>
      <c r="CY38" s="504">
        <f t="shared" si="3"/>
        <v>647924522</v>
      </c>
      <c r="CZ38" s="504">
        <f t="shared" si="3"/>
        <v>2131016151</v>
      </c>
      <c r="DA38" s="506">
        <f t="shared" si="3"/>
        <v>1769508891</v>
      </c>
    </row>
    <row r="39" spans="1:105" s="327" customFormat="1" ht="14.25" x14ac:dyDescent="0.3">
      <c r="A39" s="270"/>
      <c r="I39" s="468"/>
      <c r="AP39" s="468"/>
      <c r="AQ39" s="468"/>
      <c r="AR39" s="468"/>
      <c r="AS39" s="468"/>
      <c r="CD39" s="468"/>
      <c r="CE39" s="468"/>
      <c r="CF39" s="468"/>
      <c r="CG39" s="468"/>
      <c r="CH39" s="468"/>
      <c r="CI39" s="468"/>
      <c r="CJ39" s="468"/>
      <c r="CK39" s="468"/>
      <c r="CL39" s="468"/>
      <c r="CM39" s="468"/>
      <c r="CN39" s="468"/>
      <c r="CO39" s="468"/>
      <c r="CP39" s="468"/>
      <c r="CQ39" s="468"/>
      <c r="CR39" s="468"/>
      <c r="CS39" s="468"/>
      <c r="CT39" s="468"/>
      <c r="CU39" s="468"/>
      <c r="CV39" s="468"/>
      <c r="CW39" s="468"/>
      <c r="CX39" s="468"/>
      <c r="CY39" s="468"/>
      <c r="CZ39" s="468"/>
      <c r="DA39" s="468"/>
    </row>
  </sheetData>
  <mergeCells count="29">
    <mergeCell ref="BR3:BU3"/>
    <mergeCell ref="CX3:DA3"/>
    <mergeCell ref="BZ3:CC3"/>
    <mergeCell ref="CD3:CG3"/>
    <mergeCell ref="CH3:CK3"/>
    <mergeCell ref="CL3:CO3"/>
    <mergeCell ref="CP3:CS3"/>
    <mergeCell ref="CT3:CW3"/>
    <mergeCell ref="AX3:BA3"/>
    <mergeCell ref="BB3:BE3"/>
    <mergeCell ref="BF3:BI3"/>
    <mergeCell ref="BJ3:BM3"/>
    <mergeCell ref="BN3:BQ3"/>
    <mergeCell ref="A1:CY1"/>
    <mergeCell ref="A2:CY2"/>
    <mergeCell ref="A3:A4"/>
    <mergeCell ref="B3:E3"/>
    <mergeCell ref="F3:I3"/>
    <mergeCell ref="J3:M3"/>
    <mergeCell ref="N3:Q3"/>
    <mergeCell ref="R3:U3"/>
    <mergeCell ref="V3:Y3"/>
    <mergeCell ref="Z3:AC3"/>
    <mergeCell ref="BV3:BY3"/>
    <mergeCell ref="AD3:AG3"/>
    <mergeCell ref="AH3:AK3"/>
    <mergeCell ref="AL3:AO3"/>
    <mergeCell ref="AP3:AS3"/>
    <mergeCell ref="AT3:AW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25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6.5" x14ac:dyDescent="0.3"/>
  <cols>
    <col min="1" max="1" width="52.5703125" style="717" customWidth="1"/>
    <col min="2" max="2" width="15.140625" style="717" customWidth="1"/>
    <col min="3" max="3" width="11.85546875" style="717" bestFit="1" customWidth="1"/>
    <col min="4" max="4" width="14.42578125" style="717" bestFit="1" customWidth="1"/>
    <col min="5" max="5" width="11.28515625" style="717" customWidth="1"/>
    <col min="6" max="6" width="11.85546875" style="717" bestFit="1" customWidth="1"/>
    <col min="7" max="7" width="14.42578125" style="717" bestFit="1" customWidth="1"/>
    <col min="8" max="8" width="10.5703125" style="717" customWidth="1"/>
    <col min="9" max="9" width="11.85546875" style="717" bestFit="1" customWidth="1"/>
    <col min="10" max="10" width="14.42578125" style="717" bestFit="1" customWidth="1"/>
    <col min="11" max="11" width="11.5703125" style="717" customWidth="1"/>
    <col min="12" max="12" width="11.85546875" style="717" bestFit="1" customWidth="1"/>
    <col min="13" max="13" width="14.42578125" style="1567" bestFit="1" customWidth="1"/>
    <col min="14" max="14" width="12.5703125" style="717" customWidth="1"/>
    <col min="15" max="15" width="11.85546875" style="717" bestFit="1" customWidth="1"/>
    <col min="16" max="16" width="14.42578125" style="717" bestFit="1" customWidth="1"/>
    <col min="17" max="17" width="11.42578125" style="717" customWidth="1"/>
    <col min="18" max="18" width="11.85546875" style="717" bestFit="1" customWidth="1"/>
    <col min="19" max="19" width="14.42578125" style="717" bestFit="1" customWidth="1"/>
    <col min="20" max="20" width="11" style="717" customWidth="1"/>
    <col min="21" max="21" width="11.85546875" style="717" bestFit="1" customWidth="1"/>
    <col min="22" max="22" width="14.42578125" style="717" bestFit="1" customWidth="1"/>
    <col min="23" max="23" width="10" style="717" bestFit="1" customWidth="1"/>
    <col min="24" max="24" width="12.140625" style="717" bestFit="1" customWidth="1"/>
    <col min="25" max="25" width="14.42578125" style="717" bestFit="1" customWidth="1"/>
    <col min="26" max="26" width="11.140625" style="717" customWidth="1"/>
    <col min="27" max="27" width="11.85546875" style="717" bestFit="1" customWidth="1"/>
    <col min="28" max="28" width="14.42578125" style="717" bestFit="1" customWidth="1"/>
    <col min="29" max="29" width="11.42578125" style="717" customWidth="1"/>
    <col min="30" max="30" width="11.85546875" style="717" bestFit="1" customWidth="1"/>
    <col min="31" max="31" width="14.42578125" style="717" bestFit="1" customWidth="1"/>
    <col min="32" max="32" width="12.85546875" style="717" customWidth="1"/>
    <col min="33" max="33" width="11.85546875" style="717" bestFit="1" customWidth="1"/>
    <col min="34" max="34" width="14.42578125" style="717" bestFit="1" customWidth="1"/>
    <col min="35" max="35" width="11.7109375" style="717" customWidth="1"/>
    <col min="36" max="36" width="11.85546875" style="717" bestFit="1" customWidth="1"/>
    <col min="37" max="37" width="14.42578125" style="717" bestFit="1" customWidth="1"/>
    <col min="38" max="38" width="12.140625" style="717" customWidth="1"/>
    <col min="39" max="39" width="11.85546875" style="717" bestFit="1" customWidth="1"/>
    <col min="40" max="40" width="14.42578125" style="717" bestFit="1" customWidth="1"/>
    <col min="41" max="41" width="12.28515625" style="717" customWidth="1"/>
    <col min="42" max="42" width="11.85546875" style="717" bestFit="1" customWidth="1"/>
    <col min="43" max="43" width="14.42578125" style="717" bestFit="1" customWidth="1"/>
    <col min="44" max="44" width="10.28515625" style="717" bestFit="1" customWidth="1"/>
    <col min="45" max="45" width="11.85546875" style="717" bestFit="1" customWidth="1"/>
    <col min="46" max="46" width="14.42578125" style="717" bestFit="1" customWidth="1"/>
    <col min="47" max="47" width="12" style="717" customWidth="1"/>
    <col min="48" max="48" width="11.85546875" style="717" bestFit="1" customWidth="1"/>
    <col min="49" max="49" width="14.42578125" style="717" bestFit="1" customWidth="1"/>
    <col min="50" max="50" width="13.5703125" style="717" customWidth="1"/>
    <col min="51" max="51" width="11.85546875" style="717" bestFit="1" customWidth="1"/>
    <col min="52" max="52" width="14.42578125" style="717" bestFit="1" customWidth="1"/>
    <col min="53" max="53" width="11.140625" style="717" customWidth="1"/>
    <col min="54" max="54" width="11.85546875" style="717" bestFit="1" customWidth="1"/>
    <col min="55" max="55" width="14.42578125" style="717" bestFit="1" customWidth="1"/>
    <col min="56" max="56" width="13.5703125" style="717" customWidth="1"/>
    <col min="57" max="57" width="11.85546875" style="717" bestFit="1" customWidth="1"/>
    <col min="58" max="58" width="18.42578125" style="717" customWidth="1"/>
    <col min="59" max="59" width="11.42578125" style="717" customWidth="1"/>
    <col min="60" max="60" width="11.85546875" style="717" bestFit="1" customWidth="1"/>
    <col min="61" max="61" width="14.42578125" style="717" bestFit="1" customWidth="1"/>
    <col min="62" max="62" width="12.7109375" style="717" customWidth="1"/>
    <col min="63" max="63" width="11.85546875" style="717" bestFit="1" customWidth="1"/>
    <col min="64" max="64" width="14.42578125" style="717" bestFit="1" customWidth="1"/>
    <col min="65" max="65" width="12.5703125" style="717" customWidth="1"/>
    <col min="66" max="66" width="11.85546875" style="717" bestFit="1" customWidth="1"/>
    <col min="67" max="67" width="14.42578125" style="717" bestFit="1" customWidth="1"/>
    <col min="68" max="68" width="16" style="717" customWidth="1"/>
    <col min="69" max="69" width="11.85546875" style="717" bestFit="1" customWidth="1"/>
    <col min="70" max="70" width="14.42578125" style="717" bestFit="1" customWidth="1"/>
    <col min="71" max="71" width="12.140625" style="717" customWidth="1"/>
    <col min="72" max="72" width="11.85546875" style="717" bestFit="1" customWidth="1"/>
    <col min="73" max="73" width="14.42578125" style="717" bestFit="1" customWidth="1"/>
    <col min="74" max="74" width="13.5703125" style="717" customWidth="1"/>
    <col min="75" max="75" width="11.85546875" style="717" bestFit="1" customWidth="1"/>
    <col min="76" max="76" width="14.42578125" style="717" bestFit="1" customWidth="1"/>
    <col min="77" max="77" width="13" style="717" customWidth="1"/>
    <col min="78" max="78" width="13.140625" style="717" customWidth="1"/>
    <col min="79" max="79" width="14.42578125" style="717" bestFit="1" customWidth="1"/>
    <col min="80" max="16384" width="9.140625" style="717"/>
  </cols>
  <sheetData>
    <row r="1" spans="1:79" ht="18" x14ac:dyDescent="0.35">
      <c r="A1" s="1403" t="s">
        <v>379</v>
      </c>
      <c r="B1" s="1403"/>
      <c r="C1" s="1403"/>
      <c r="D1" s="1403"/>
      <c r="E1" s="1403"/>
      <c r="F1" s="1403"/>
      <c r="G1" s="1403"/>
      <c r="H1" s="1403"/>
      <c r="I1" s="1403"/>
      <c r="J1" s="1403"/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3"/>
      <c r="V1" s="1403"/>
      <c r="W1" s="1403"/>
      <c r="X1" s="1403"/>
      <c r="Y1" s="1403"/>
      <c r="Z1" s="1403"/>
      <c r="AA1" s="1403"/>
      <c r="AB1" s="1403"/>
      <c r="AC1" s="1403"/>
      <c r="AD1" s="1403"/>
      <c r="AE1" s="1403"/>
      <c r="AF1" s="1403"/>
      <c r="AG1" s="1403"/>
      <c r="AH1" s="1403"/>
      <c r="AI1" s="1403"/>
      <c r="AJ1" s="1403"/>
      <c r="AK1" s="1403"/>
      <c r="AL1" s="1403"/>
      <c r="AM1" s="1403"/>
      <c r="AN1" s="1403"/>
      <c r="AO1" s="1403"/>
      <c r="AP1" s="1403"/>
      <c r="AQ1" s="1403"/>
      <c r="AR1" s="1403"/>
      <c r="AS1" s="1403"/>
      <c r="AT1" s="1403"/>
      <c r="AU1" s="1403"/>
      <c r="AV1" s="1403"/>
      <c r="AW1" s="1403"/>
      <c r="AX1" s="1403"/>
      <c r="AY1" s="1403"/>
      <c r="AZ1" s="1403"/>
      <c r="BA1" s="1403"/>
      <c r="BB1" s="1403"/>
      <c r="BC1" s="1403"/>
      <c r="BD1" s="1403"/>
      <c r="BE1" s="1403"/>
      <c r="BF1" s="1403"/>
      <c r="BG1" s="1403"/>
      <c r="BH1" s="1403"/>
      <c r="BI1" s="1403"/>
      <c r="BJ1" s="1403"/>
      <c r="BK1" s="1403"/>
      <c r="BL1" s="1403"/>
      <c r="BM1" s="1403"/>
      <c r="BN1" s="1403"/>
      <c r="BO1" s="1403"/>
      <c r="BP1" s="1403"/>
      <c r="BQ1" s="1403"/>
      <c r="BR1" s="1403"/>
      <c r="BS1" s="1403"/>
      <c r="BT1" s="1403"/>
      <c r="BU1" s="1403"/>
      <c r="BV1" s="1403"/>
      <c r="BW1" s="1403"/>
      <c r="BX1" s="1403"/>
      <c r="BY1" s="1403"/>
      <c r="BZ1" s="1403"/>
    </row>
    <row r="2" spans="1:79" ht="17.25" thickBot="1" x14ac:dyDescent="0.35">
      <c r="A2" s="1537" t="s">
        <v>357</v>
      </c>
      <c r="B2" s="1537"/>
      <c r="C2" s="1537"/>
      <c r="D2" s="1537"/>
      <c r="E2" s="1537"/>
      <c r="F2" s="1537"/>
      <c r="G2" s="1537"/>
      <c r="H2" s="1537"/>
      <c r="I2" s="1537"/>
      <c r="J2" s="1537"/>
      <c r="K2" s="1537"/>
      <c r="L2" s="1537"/>
      <c r="M2" s="1537"/>
      <c r="N2" s="1537"/>
      <c r="O2" s="1537"/>
      <c r="P2" s="1537"/>
      <c r="Q2" s="1537"/>
      <c r="R2" s="1537"/>
      <c r="S2" s="1537"/>
      <c r="T2" s="1537"/>
      <c r="U2" s="1537"/>
      <c r="V2" s="1537"/>
      <c r="W2" s="1537"/>
      <c r="X2" s="1537"/>
      <c r="Y2" s="1537"/>
      <c r="Z2" s="1537"/>
      <c r="AA2" s="1537"/>
      <c r="AB2" s="1537"/>
      <c r="AC2" s="1537"/>
      <c r="AD2" s="1537"/>
      <c r="AE2" s="1537"/>
      <c r="AF2" s="1537"/>
      <c r="AG2" s="1537"/>
      <c r="AH2" s="1537"/>
      <c r="AI2" s="1537"/>
      <c r="AJ2" s="1537"/>
      <c r="AK2" s="1537"/>
      <c r="AL2" s="1537"/>
      <c r="AM2" s="1537"/>
      <c r="AN2" s="1537"/>
      <c r="AO2" s="1537"/>
      <c r="AP2" s="1537"/>
      <c r="AQ2" s="1537"/>
      <c r="AR2" s="1537"/>
      <c r="AS2" s="1537"/>
      <c r="AT2" s="1537"/>
      <c r="AU2" s="1537"/>
      <c r="AV2" s="1537"/>
      <c r="AW2" s="1537"/>
      <c r="AX2" s="1537"/>
      <c r="AY2" s="1537"/>
      <c r="AZ2" s="1537"/>
      <c r="BA2" s="1537"/>
      <c r="BB2" s="1537"/>
      <c r="BC2" s="1537"/>
      <c r="BD2" s="1537"/>
      <c r="BE2" s="1537"/>
      <c r="BF2" s="1537"/>
      <c r="BG2" s="1537"/>
      <c r="BH2" s="1537"/>
      <c r="BI2" s="1537"/>
      <c r="BJ2" s="1537"/>
      <c r="BK2" s="1537"/>
      <c r="BL2" s="1537"/>
      <c r="BM2" s="1537"/>
      <c r="BN2" s="1537"/>
      <c r="BO2" s="1537"/>
      <c r="BP2" s="1537"/>
      <c r="BQ2" s="1537"/>
      <c r="BR2" s="1537"/>
      <c r="BS2" s="1537"/>
      <c r="BT2" s="1537"/>
      <c r="BU2" s="1537"/>
      <c r="BV2" s="1537"/>
      <c r="BW2" s="1537"/>
      <c r="BX2" s="1537"/>
      <c r="BY2" s="1537"/>
      <c r="BZ2" s="1537"/>
    </row>
    <row r="3" spans="1:79" s="842" customFormat="1" ht="14.25" x14ac:dyDescent="0.3">
      <c r="A3" s="1569"/>
      <c r="B3" s="1538" t="s">
        <v>258</v>
      </c>
      <c r="C3" s="1539"/>
      <c r="D3" s="1540"/>
      <c r="E3" s="1541" t="s">
        <v>259</v>
      </c>
      <c r="F3" s="1542"/>
      <c r="G3" s="1543"/>
      <c r="H3" s="1541" t="s">
        <v>260</v>
      </c>
      <c r="I3" s="1542"/>
      <c r="J3" s="1543"/>
      <c r="K3" s="1541" t="s">
        <v>261</v>
      </c>
      <c r="L3" s="1542"/>
      <c r="M3" s="1543"/>
      <c r="N3" s="1541" t="s">
        <v>262</v>
      </c>
      <c r="O3" s="1542"/>
      <c r="P3" s="1543"/>
      <c r="Q3" s="1541" t="s">
        <v>263</v>
      </c>
      <c r="R3" s="1542"/>
      <c r="S3" s="1543"/>
      <c r="T3" s="1544" t="s">
        <v>264</v>
      </c>
      <c r="U3" s="1542"/>
      <c r="V3" s="1543"/>
      <c r="W3" s="1541" t="s">
        <v>265</v>
      </c>
      <c r="X3" s="1542"/>
      <c r="Y3" s="1543"/>
      <c r="Z3" s="1541" t="s">
        <v>266</v>
      </c>
      <c r="AA3" s="1542"/>
      <c r="AB3" s="1543"/>
      <c r="AC3" s="1541" t="s">
        <v>267</v>
      </c>
      <c r="AD3" s="1542"/>
      <c r="AE3" s="1543"/>
      <c r="AF3" s="1541" t="s">
        <v>268</v>
      </c>
      <c r="AG3" s="1542"/>
      <c r="AH3" s="1543"/>
      <c r="AI3" s="1541" t="s">
        <v>269</v>
      </c>
      <c r="AJ3" s="1542"/>
      <c r="AK3" s="1543"/>
      <c r="AL3" s="1541" t="s">
        <v>270</v>
      </c>
      <c r="AM3" s="1542"/>
      <c r="AN3" s="1543"/>
      <c r="AO3" s="1541" t="s">
        <v>271</v>
      </c>
      <c r="AP3" s="1542"/>
      <c r="AQ3" s="1543"/>
      <c r="AR3" s="1361" t="s">
        <v>272</v>
      </c>
      <c r="AS3" s="1546"/>
      <c r="AT3" s="1362"/>
      <c r="AU3" s="1541" t="s">
        <v>273</v>
      </c>
      <c r="AV3" s="1542"/>
      <c r="AW3" s="1543"/>
      <c r="AX3" s="1541" t="s">
        <v>274</v>
      </c>
      <c r="AY3" s="1542"/>
      <c r="AZ3" s="1543"/>
      <c r="BA3" s="1541" t="s">
        <v>275</v>
      </c>
      <c r="BB3" s="1542"/>
      <c r="BC3" s="1543"/>
      <c r="BD3" s="1361" t="s">
        <v>276</v>
      </c>
      <c r="BE3" s="1546"/>
      <c r="BF3" s="1362"/>
      <c r="BG3" s="1541" t="s">
        <v>277</v>
      </c>
      <c r="BH3" s="1542"/>
      <c r="BI3" s="1543"/>
      <c r="BJ3" s="1541" t="s">
        <v>278</v>
      </c>
      <c r="BK3" s="1542"/>
      <c r="BL3" s="1543"/>
      <c r="BM3" s="1541" t="s">
        <v>279</v>
      </c>
      <c r="BN3" s="1542"/>
      <c r="BO3" s="1543"/>
      <c r="BP3" s="1541" t="s">
        <v>280</v>
      </c>
      <c r="BQ3" s="1542"/>
      <c r="BR3" s="1543"/>
      <c r="BS3" s="1541" t="s">
        <v>2</v>
      </c>
      <c r="BT3" s="1542"/>
      <c r="BU3" s="1543"/>
      <c r="BV3" s="1361" t="s">
        <v>281</v>
      </c>
      <c r="BW3" s="1546"/>
      <c r="BX3" s="1362"/>
      <c r="BY3" s="1545" t="s">
        <v>3</v>
      </c>
      <c r="BZ3" s="1546"/>
      <c r="CA3" s="1362"/>
    </row>
    <row r="4" spans="1:79" s="1547" customFormat="1" ht="43.5" thickBot="1" x14ac:dyDescent="0.3">
      <c r="A4" s="1598" t="s">
        <v>1</v>
      </c>
      <c r="B4" s="1588" t="s">
        <v>358</v>
      </c>
      <c r="C4" s="1586" t="s">
        <v>359</v>
      </c>
      <c r="D4" s="1587" t="s">
        <v>360</v>
      </c>
      <c r="E4" s="1589" t="s">
        <v>358</v>
      </c>
      <c r="F4" s="1586" t="s">
        <v>359</v>
      </c>
      <c r="G4" s="1587" t="s">
        <v>360</v>
      </c>
      <c r="H4" s="1589" t="s">
        <v>358</v>
      </c>
      <c r="I4" s="1586" t="s">
        <v>359</v>
      </c>
      <c r="J4" s="1587" t="s">
        <v>360</v>
      </c>
      <c r="K4" s="1589" t="s">
        <v>358</v>
      </c>
      <c r="L4" s="1586" t="s">
        <v>359</v>
      </c>
      <c r="M4" s="1599" t="s">
        <v>360</v>
      </c>
      <c r="N4" s="1589" t="s">
        <v>358</v>
      </c>
      <c r="O4" s="1586" t="s">
        <v>359</v>
      </c>
      <c r="P4" s="1587" t="s">
        <v>360</v>
      </c>
      <c r="Q4" s="1589" t="s">
        <v>358</v>
      </c>
      <c r="R4" s="1586" t="s">
        <v>359</v>
      </c>
      <c r="S4" s="1587" t="s">
        <v>360</v>
      </c>
      <c r="T4" s="1588" t="s">
        <v>358</v>
      </c>
      <c r="U4" s="1586" t="s">
        <v>359</v>
      </c>
      <c r="V4" s="1587" t="s">
        <v>360</v>
      </c>
      <c r="W4" s="1589" t="s">
        <v>358</v>
      </c>
      <c r="X4" s="1586" t="s">
        <v>359</v>
      </c>
      <c r="Y4" s="1587" t="s">
        <v>360</v>
      </c>
      <c r="Z4" s="1589" t="s">
        <v>358</v>
      </c>
      <c r="AA4" s="1586" t="s">
        <v>359</v>
      </c>
      <c r="AB4" s="1587" t="s">
        <v>360</v>
      </c>
      <c r="AC4" s="1589" t="s">
        <v>358</v>
      </c>
      <c r="AD4" s="1586" t="s">
        <v>359</v>
      </c>
      <c r="AE4" s="1587" t="s">
        <v>360</v>
      </c>
      <c r="AF4" s="1589" t="s">
        <v>358</v>
      </c>
      <c r="AG4" s="1586" t="s">
        <v>359</v>
      </c>
      <c r="AH4" s="1587" t="s">
        <v>360</v>
      </c>
      <c r="AI4" s="1589" t="s">
        <v>358</v>
      </c>
      <c r="AJ4" s="1586" t="s">
        <v>359</v>
      </c>
      <c r="AK4" s="1587" t="s">
        <v>360</v>
      </c>
      <c r="AL4" s="1589" t="s">
        <v>358</v>
      </c>
      <c r="AM4" s="1586" t="s">
        <v>359</v>
      </c>
      <c r="AN4" s="1587" t="s">
        <v>360</v>
      </c>
      <c r="AO4" s="1589" t="s">
        <v>358</v>
      </c>
      <c r="AP4" s="1586" t="s">
        <v>359</v>
      </c>
      <c r="AQ4" s="1587" t="s">
        <v>360</v>
      </c>
      <c r="AR4" s="1589" t="s">
        <v>358</v>
      </c>
      <c r="AS4" s="1586" t="s">
        <v>359</v>
      </c>
      <c r="AT4" s="1587" t="s">
        <v>360</v>
      </c>
      <c r="AU4" s="1589" t="s">
        <v>358</v>
      </c>
      <c r="AV4" s="1586" t="s">
        <v>359</v>
      </c>
      <c r="AW4" s="1587" t="s">
        <v>360</v>
      </c>
      <c r="AX4" s="1589" t="s">
        <v>358</v>
      </c>
      <c r="AY4" s="1586" t="s">
        <v>359</v>
      </c>
      <c r="AZ4" s="1587" t="s">
        <v>360</v>
      </c>
      <c r="BA4" s="1589" t="s">
        <v>358</v>
      </c>
      <c r="BB4" s="1586" t="s">
        <v>359</v>
      </c>
      <c r="BC4" s="1587" t="s">
        <v>360</v>
      </c>
      <c r="BD4" s="1589" t="s">
        <v>358</v>
      </c>
      <c r="BE4" s="1586" t="s">
        <v>359</v>
      </c>
      <c r="BF4" s="1587" t="s">
        <v>360</v>
      </c>
      <c r="BG4" s="1589" t="s">
        <v>358</v>
      </c>
      <c r="BH4" s="1586" t="s">
        <v>359</v>
      </c>
      <c r="BI4" s="1587" t="s">
        <v>360</v>
      </c>
      <c r="BJ4" s="1589" t="s">
        <v>358</v>
      </c>
      <c r="BK4" s="1586" t="s">
        <v>359</v>
      </c>
      <c r="BL4" s="1587" t="s">
        <v>360</v>
      </c>
      <c r="BM4" s="1589" t="s">
        <v>358</v>
      </c>
      <c r="BN4" s="1586" t="s">
        <v>359</v>
      </c>
      <c r="BO4" s="1587" t="s">
        <v>360</v>
      </c>
      <c r="BP4" s="1589" t="s">
        <v>358</v>
      </c>
      <c r="BQ4" s="1586" t="s">
        <v>359</v>
      </c>
      <c r="BR4" s="1587" t="s">
        <v>360</v>
      </c>
      <c r="BS4" s="1589" t="s">
        <v>358</v>
      </c>
      <c r="BT4" s="1586" t="s">
        <v>359</v>
      </c>
      <c r="BU4" s="1587" t="s">
        <v>360</v>
      </c>
      <c r="BV4" s="1589" t="s">
        <v>358</v>
      </c>
      <c r="BW4" s="1586" t="s">
        <v>359</v>
      </c>
      <c r="BX4" s="1587" t="s">
        <v>360</v>
      </c>
      <c r="BY4" s="1588" t="s">
        <v>358</v>
      </c>
      <c r="BZ4" s="1586" t="s">
        <v>359</v>
      </c>
      <c r="CA4" s="1587" t="s">
        <v>360</v>
      </c>
    </row>
    <row r="5" spans="1:79" ht="17.25" x14ac:dyDescent="0.35">
      <c r="A5" s="1585" t="s">
        <v>361</v>
      </c>
      <c r="B5" s="722"/>
      <c r="C5" s="723"/>
      <c r="D5" s="724"/>
      <c r="E5" s="728"/>
      <c r="F5" s="726"/>
      <c r="G5" s="727"/>
      <c r="H5" s="728"/>
      <c r="I5" s="726"/>
      <c r="J5" s="727"/>
      <c r="K5" s="728"/>
      <c r="L5" s="726"/>
      <c r="M5" s="739">
        <f>K5-L5</f>
        <v>0</v>
      </c>
      <c r="N5" s="728"/>
      <c r="O5" s="726"/>
      <c r="P5" s="727"/>
      <c r="Q5" s="728"/>
      <c r="R5" s="726"/>
      <c r="S5" s="727"/>
      <c r="T5" s="725"/>
      <c r="U5" s="726"/>
      <c r="V5" s="727"/>
      <c r="W5" s="728"/>
      <c r="X5" s="726"/>
      <c r="Y5" s="727"/>
      <c r="Z5" s="728"/>
      <c r="AA5" s="726"/>
      <c r="AB5" s="727"/>
      <c r="AC5" s="728"/>
      <c r="AD5" s="726"/>
      <c r="AE5" s="727"/>
      <c r="AF5" s="728"/>
      <c r="AG5" s="726"/>
      <c r="AH5" s="727"/>
      <c r="AI5" s="728"/>
      <c r="AJ5" s="726"/>
      <c r="AK5" s="727"/>
      <c r="AL5" s="1590"/>
      <c r="AM5" s="730"/>
      <c r="AN5" s="731"/>
      <c r="AO5" s="728"/>
      <c r="AP5" s="726"/>
      <c r="AQ5" s="727"/>
      <c r="AR5" s="728"/>
      <c r="AS5" s="726"/>
      <c r="AT5" s="727"/>
      <c r="AU5" s="728"/>
      <c r="AV5" s="726"/>
      <c r="AW5" s="727"/>
      <c r="AX5" s="728"/>
      <c r="AY5" s="726"/>
      <c r="AZ5" s="727"/>
      <c r="BA5" s="728"/>
      <c r="BB5" s="726"/>
      <c r="BC5" s="727"/>
      <c r="BD5" s="1591"/>
      <c r="BE5" s="733"/>
      <c r="BF5" s="734"/>
      <c r="BG5" s="1592"/>
      <c r="BH5" s="736"/>
      <c r="BI5" s="682"/>
      <c r="BJ5" s="1593"/>
      <c r="BK5" s="738"/>
      <c r="BL5" s="739"/>
      <c r="BM5" s="1594"/>
      <c r="BN5" s="741"/>
      <c r="BO5" s="1595"/>
      <c r="BP5" s="728"/>
      <c r="BQ5" s="726"/>
      <c r="BR5" s="727"/>
      <c r="BS5" s="1596"/>
      <c r="BT5" s="745"/>
      <c r="BU5" s="1597"/>
      <c r="BV5" s="1594"/>
      <c r="BW5" s="741"/>
      <c r="BX5" s="1595"/>
      <c r="BY5" s="744"/>
      <c r="BZ5" s="745"/>
      <c r="CA5" s="748"/>
    </row>
    <row r="6" spans="1:79" ht="17.25" x14ac:dyDescent="0.35">
      <c r="A6" s="1570" t="s">
        <v>362</v>
      </c>
      <c r="B6" s="749">
        <v>1956191</v>
      </c>
      <c r="C6" s="750">
        <v>1541358</v>
      </c>
      <c r="D6" s="751">
        <v>414833</v>
      </c>
      <c r="E6" s="755">
        <v>953575</v>
      </c>
      <c r="F6" s="753">
        <v>845947</v>
      </c>
      <c r="G6" s="754">
        <v>107628</v>
      </c>
      <c r="H6" s="755">
        <v>504754</v>
      </c>
      <c r="I6" s="753">
        <v>460438</v>
      </c>
      <c r="J6" s="754">
        <f>H6-I6</f>
        <v>44316</v>
      </c>
      <c r="K6" s="755">
        <v>283558</v>
      </c>
      <c r="L6" s="753">
        <v>211596</v>
      </c>
      <c r="M6" s="1576">
        <f t="shared" ref="M6:M22" si="0">K6-L6</f>
        <v>71962</v>
      </c>
      <c r="N6" s="755">
        <v>394138</v>
      </c>
      <c r="O6" s="753">
        <v>334554</v>
      </c>
      <c r="P6" s="754">
        <f>N6-O6</f>
        <v>59584</v>
      </c>
      <c r="Q6" s="755">
        <v>874991</v>
      </c>
      <c r="R6" s="753">
        <v>855992</v>
      </c>
      <c r="S6" s="754">
        <f>Q6-R6</f>
        <v>18999</v>
      </c>
      <c r="T6" s="752">
        <v>578670</v>
      </c>
      <c r="U6" s="753">
        <v>360292</v>
      </c>
      <c r="V6" s="754">
        <f>T6-U6</f>
        <v>218378</v>
      </c>
      <c r="W6" s="755">
        <v>555734</v>
      </c>
      <c r="X6" s="753">
        <v>262816</v>
      </c>
      <c r="Y6" s="754">
        <f>W6-X6</f>
        <v>292918</v>
      </c>
      <c r="Z6" s="755">
        <v>464013</v>
      </c>
      <c r="AA6" s="753">
        <v>364725</v>
      </c>
      <c r="AB6" s="754">
        <f>Z6-AA6</f>
        <v>99288</v>
      </c>
      <c r="AC6" s="755">
        <v>520984</v>
      </c>
      <c r="AD6" s="753">
        <v>375913</v>
      </c>
      <c r="AE6" s="754">
        <f>AC6-AD6</f>
        <v>145071</v>
      </c>
      <c r="AF6" s="755">
        <v>1936259</v>
      </c>
      <c r="AG6" s="753">
        <v>1512088</v>
      </c>
      <c r="AH6" s="754">
        <f>AF6-AG6</f>
        <v>424171</v>
      </c>
      <c r="AI6" s="755">
        <v>1261168</v>
      </c>
      <c r="AJ6" s="753">
        <v>1117195</v>
      </c>
      <c r="AK6" s="754">
        <f>AI6-AJ6</f>
        <v>143973</v>
      </c>
      <c r="AL6" s="1555">
        <v>454784</v>
      </c>
      <c r="AM6" s="757">
        <v>394997</v>
      </c>
      <c r="AN6" s="758">
        <f>AL6-AM6</f>
        <v>59787</v>
      </c>
      <c r="AO6" s="755">
        <v>496509</v>
      </c>
      <c r="AP6" s="753">
        <v>404227</v>
      </c>
      <c r="AQ6" s="754">
        <f>AO6-AP6</f>
        <v>92282</v>
      </c>
      <c r="AR6" s="755">
        <v>1675880</v>
      </c>
      <c r="AS6" s="753">
        <v>1438696</v>
      </c>
      <c r="AT6" s="754">
        <f>AR6-AS6</f>
        <v>237184</v>
      </c>
      <c r="AU6" s="755">
        <v>3793926</v>
      </c>
      <c r="AV6" s="753">
        <v>2902621</v>
      </c>
      <c r="AW6" s="754">
        <f>AU6-AV6</f>
        <v>891305</v>
      </c>
      <c r="AX6" s="755">
        <v>1125028</v>
      </c>
      <c r="AY6" s="753">
        <v>928456</v>
      </c>
      <c r="AZ6" s="754">
        <f>AX6-AY6</f>
        <v>196572</v>
      </c>
      <c r="BA6" s="755">
        <v>483093</v>
      </c>
      <c r="BB6" s="753">
        <v>415174</v>
      </c>
      <c r="BC6" s="754">
        <f>BA6-BB6</f>
        <v>67919</v>
      </c>
      <c r="BD6" s="1548"/>
      <c r="BE6" s="760"/>
      <c r="BF6" s="775"/>
      <c r="BG6" s="1552">
        <v>1732771</v>
      </c>
      <c r="BH6" s="1553">
        <v>1454580</v>
      </c>
      <c r="BI6" s="1581">
        <v>278191</v>
      </c>
      <c r="BJ6" s="1550">
        <v>303133</v>
      </c>
      <c r="BK6" s="768">
        <v>195995</v>
      </c>
      <c r="BL6" s="1551">
        <f>BJ6-BK6</f>
        <v>107138</v>
      </c>
      <c r="BM6" s="1550">
        <v>536261</v>
      </c>
      <c r="BN6" s="768">
        <v>479288</v>
      </c>
      <c r="BO6" s="1551">
        <f>BM6-BN6</f>
        <v>56973</v>
      </c>
      <c r="BP6" s="755">
        <v>1666548</v>
      </c>
      <c r="BQ6" s="753">
        <v>1253817</v>
      </c>
      <c r="BR6" s="754">
        <f>BP6-BQ6</f>
        <v>412731</v>
      </c>
      <c r="BS6" s="780">
        <f>B6+E6+H6+K6+N6+Q6+T6+W6+Z6+AC6+AF6+AI6+AL6+AO6+AR6+AU6+AX6+BA6+BD6+BG6+BJ6+BM6+BP6</f>
        <v>22551968</v>
      </c>
      <c r="BT6" s="772">
        <f t="shared" ref="BT6:BU21" si="1">C6+F6+I6+L6+O6+R6+U6+X6+AA6+AD6+AG6+AJ6+AM6+AP6+AS6+AV6+AY6+BB6+BE6+BH6+BK6+BN6+BQ6</f>
        <v>18110765</v>
      </c>
      <c r="BU6" s="779">
        <f t="shared" si="1"/>
        <v>4441203</v>
      </c>
      <c r="BV6" s="1550">
        <v>499114</v>
      </c>
      <c r="BW6" s="768">
        <v>89070</v>
      </c>
      <c r="BX6" s="1551">
        <f>BV6-BW6</f>
        <v>410044</v>
      </c>
      <c r="BY6" s="771">
        <f>BS6+BV6</f>
        <v>23051082</v>
      </c>
      <c r="BZ6" s="772">
        <f t="shared" ref="BZ6:CA21" si="2">BT6+BW6</f>
        <v>18199835</v>
      </c>
      <c r="CA6" s="779">
        <f t="shared" si="2"/>
        <v>4851247</v>
      </c>
    </row>
    <row r="7" spans="1:79" ht="17.25" x14ac:dyDescent="0.35">
      <c r="A7" s="1570" t="s">
        <v>363</v>
      </c>
      <c r="B7" s="776"/>
      <c r="C7" s="777"/>
      <c r="D7" s="778"/>
      <c r="E7" s="780"/>
      <c r="F7" s="772"/>
      <c r="G7" s="779"/>
      <c r="H7" s="780"/>
      <c r="I7" s="772"/>
      <c r="J7" s="754">
        <f t="shared" ref="J7:J16" si="3">H7-I7</f>
        <v>0</v>
      </c>
      <c r="K7" s="780">
        <v>6808</v>
      </c>
      <c r="L7" s="772"/>
      <c r="M7" s="766">
        <f t="shared" si="0"/>
        <v>6808</v>
      </c>
      <c r="N7" s="780"/>
      <c r="O7" s="772"/>
      <c r="P7" s="754">
        <f t="shared" ref="P7:P17" si="4">N7-O7</f>
        <v>0</v>
      </c>
      <c r="Q7" s="780"/>
      <c r="R7" s="772"/>
      <c r="S7" s="754">
        <f t="shared" ref="S7:S19" si="5">Q7-R7</f>
        <v>0</v>
      </c>
      <c r="T7" s="771"/>
      <c r="U7" s="772"/>
      <c r="V7" s="754">
        <f t="shared" ref="V7:V15" si="6">T7-U7</f>
        <v>0</v>
      </c>
      <c r="W7" s="780"/>
      <c r="X7" s="772"/>
      <c r="Y7" s="754">
        <f t="shared" ref="Y7:Y15" si="7">W7-X7</f>
        <v>0</v>
      </c>
      <c r="Z7" s="780"/>
      <c r="AA7" s="772"/>
      <c r="AB7" s="754">
        <f t="shared" ref="AB7:AB15" si="8">Z7-AA7</f>
        <v>0</v>
      </c>
      <c r="AC7" s="780"/>
      <c r="AD7" s="772"/>
      <c r="AE7" s="754">
        <f t="shared" ref="AE7:AE15" si="9">AC7-AD7</f>
        <v>0</v>
      </c>
      <c r="AF7" s="780"/>
      <c r="AG7" s="772"/>
      <c r="AH7" s="754">
        <f t="shared" ref="AH7:AH15" si="10">AF7-AG7</f>
        <v>0</v>
      </c>
      <c r="AI7" s="780">
        <v>903280</v>
      </c>
      <c r="AJ7" s="772"/>
      <c r="AK7" s="754">
        <f t="shared" ref="AK7:AK19" si="11">AI7-AJ7</f>
        <v>903280</v>
      </c>
      <c r="AL7" s="1555"/>
      <c r="AM7" s="757"/>
      <c r="AN7" s="758">
        <f t="shared" ref="AN7:AN17" si="12">AL7-AM7</f>
        <v>0</v>
      </c>
      <c r="AO7" s="780"/>
      <c r="AP7" s="772"/>
      <c r="AQ7" s="754">
        <f t="shared" ref="AQ7:AQ15" si="13">AO7-AP7</f>
        <v>0</v>
      </c>
      <c r="AR7" s="1556"/>
      <c r="AS7" s="782"/>
      <c r="AT7" s="754"/>
      <c r="AU7" s="780"/>
      <c r="AV7" s="772"/>
      <c r="AW7" s="754">
        <f t="shared" ref="AW7:AW15" si="14">AU7-AV7</f>
        <v>0</v>
      </c>
      <c r="AX7" s="780"/>
      <c r="AY7" s="772"/>
      <c r="AZ7" s="754">
        <f t="shared" ref="AZ7:AZ14" si="15">AX7-AY7</f>
        <v>0</v>
      </c>
      <c r="BA7" s="780"/>
      <c r="BB7" s="772"/>
      <c r="BC7" s="754">
        <f t="shared" ref="BC7:BC14" si="16">BA7-BB7</f>
        <v>0</v>
      </c>
      <c r="BD7" s="1548"/>
      <c r="BE7" s="760"/>
      <c r="BF7" s="775"/>
      <c r="BG7" s="1552">
        <v>1762522</v>
      </c>
      <c r="BH7" s="1554"/>
      <c r="BI7" s="1581">
        <v>1762522</v>
      </c>
      <c r="BJ7" s="1550">
        <v>56334</v>
      </c>
      <c r="BK7" s="768"/>
      <c r="BL7" s="1551">
        <f t="shared" ref="BL7:BL17" si="17">BJ7-BK7</f>
        <v>56334</v>
      </c>
      <c r="BM7" s="1550"/>
      <c r="BN7" s="768"/>
      <c r="BO7" s="1551">
        <f t="shared" ref="BO7:BO18" si="18">BM7-BN7</f>
        <v>0</v>
      </c>
      <c r="BP7" s="780"/>
      <c r="BQ7" s="772"/>
      <c r="BR7" s="754">
        <f t="shared" ref="BR7:BR15" si="19">BP7-BQ7</f>
        <v>0</v>
      </c>
      <c r="BS7" s="780">
        <f t="shared" ref="BS7:BU24" si="20">B7+E7+H7+K7+N7+Q7+T7+W7+Z7+AC7+AF7+AI7+AL7+AO7+AR7+AU7+AX7+BA7+BD7+BG7+BJ7+BM7+BP7</f>
        <v>2728944</v>
      </c>
      <c r="BT7" s="772">
        <f t="shared" si="1"/>
        <v>0</v>
      </c>
      <c r="BU7" s="779">
        <f t="shared" si="1"/>
        <v>2728944</v>
      </c>
      <c r="BV7" s="780">
        <v>961837</v>
      </c>
      <c r="BW7" s="772"/>
      <c r="BX7" s="1551">
        <f t="shared" ref="BX7:BX20" si="21">BV7-BW7</f>
        <v>961837</v>
      </c>
      <c r="BY7" s="771">
        <f t="shared" ref="BY7:CA24" si="22">BS7+BV7</f>
        <v>3690781</v>
      </c>
      <c r="BZ7" s="772">
        <f t="shared" si="2"/>
        <v>0</v>
      </c>
      <c r="CA7" s="779">
        <f t="shared" si="2"/>
        <v>3690781</v>
      </c>
    </row>
    <row r="8" spans="1:79" ht="17.25" x14ac:dyDescent="0.35">
      <c r="A8" s="1570" t="s">
        <v>364</v>
      </c>
      <c r="B8" s="749"/>
      <c r="C8" s="750"/>
      <c r="D8" s="751"/>
      <c r="E8" s="755"/>
      <c r="F8" s="753"/>
      <c r="G8" s="754"/>
      <c r="H8" s="755"/>
      <c r="I8" s="753"/>
      <c r="J8" s="754">
        <f t="shared" si="3"/>
        <v>0</v>
      </c>
      <c r="K8" s="755"/>
      <c r="L8" s="753"/>
      <c r="M8" s="766">
        <f t="shared" si="0"/>
        <v>0</v>
      </c>
      <c r="N8" s="755"/>
      <c r="O8" s="753"/>
      <c r="P8" s="754">
        <f t="shared" si="4"/>
        <v>0</v>
      </c>
      <c r="Q8" s="755"/>
      <c r="R8" s="753"/>
      <c r="S8" s="754">
        <f t="shared" si="5"/>
        <v>0</v>
      </c>
      <c r="T8" s="752"/>
      <c r="U8" s="753"/>
      <c r="V8" s="754">
        <f t="shared" si="6"/>
        <v>0</v>
      </c>
      <c r="W8" s="755"/>
      <c r="X8" s="753"/>
      <c r="Y8" s="754">
        <f t="shared" si="7"/>
        <v>0</v>
      </c>
      <c r="Z8" s="755"/>
      <c r="AA8" s="753"/>
      <c r="AB8" s="754">
        <f t="shared" si="8"/>
        <v>0</v>
      </c>
      <c r="AC8" s="755"/>
      <c r="AD8" s="753"/>
      <c r="AE8" s="754">
        <f t="shared" si="9"/>
        <v>0</v>
      </c>
      <c r="AF8" s="755"/>
      <c r="AG8" s="753"/>
      <c r="AH8" s="754">
        <f t="shared" si="10"/>
        <v>0</v>
      </c>
      <c r="AI8" s="755">
        <v>1421582</v>
      </c>
      <c r="AJ8" s="753">
        <v>1122643</v>
      </c>
      <c r="AK8" s="754">
        <f t="shared" si="11"/>
        <v>298939</v>
      </c>
      <c r="AL8" s="755"/>
      <c r="AM8" s="753"/>
      <c r="AN8" s="758">
        <f t="shared" si="12"/>
        <v>0</v>
      </c>
      <c r="AO8" s="755"/>
      <c r="AP8" s="753"/>
      <c r="AQ8" s="754">
        <f t="shared" si="13"/>
        <v>0</v>
      </c>
      <c r="AR8" s="755"/>
      <c r="AS8" s="753"/>
      <c r="AT8" s="754"/>
      <c r="AU8" s="755"/>
      <c r="AV8" s="753"/>
      <c r="AW8" s="754">
        <f t="shared" si="14"/>
        <v>0</v>
      </c>
      <c r="AX8" s="755">
        <v>190700</v>
      </c>
      <c r="AY8" s="753">
        <v>130652</v>
      </c>
      <c r="AZ8" s="754">
        <f t="shared" si="15"/>
        <v>60048</v>
      </c>
      <c r="BA8" s="755">
        <v>124948</v>
      </c>
      <c r="BB8" s="753">
        <v>54232</v>
      </c>
      <c r="BC8" s="754">
        <f t="shared" si="16"/>
        <v>70716</v>
      </c>
      <c r="BD8" s="1548"/>
      <c r="BE8" s="760"/>
      <c r="BF8" s="775"/>
      <c r="BG8" s="1549"/>
      <c r="BH8" s="1554"/>
      <c r="BI8" s="1582"/>
      <c r="BJ8" s="1550"/>
      <c r="BK8" s="768"/>
      <c r="BL8" s="1551">
        <f t="shared" si="17"/>
        <v>0</v>
      </c>
      <c r="BM8" s="1550">
        <v>70087</v>
      </c>
      <c r="BN8" s="768">
        <v>62064</v>
      </c>
      <c r="BO8" s="1551">
        <f t="shared" si="18"/>
        <v>8023</v>
      </c>
      <c r="BP8" s="755"/>
      <c r="BQ8" s="753"/>
      <c r="BR8" s="754">
        <f t="shared" si="19"/>
        <v>0</v>
      </c>
      <c r="BS8" s="780">
        <f t="shared" si="20"/>
        <v>1807317</v>
      </c>
      <c r="BT8" s="772">
        <f t="shared" si="1"/>
        <v>1369591</v>
      </c>
      <c r="BU8" s="779">
        <f t="shared" si="1"/>
        <v>437726</v>
      </c>
      <c r="BV8" s="1550">
        <v>890045</v>
      </c>
      <c r="BW8" s="768">
        <v>88577</v>
      </c>
      <c r="BX8" s="1551">
        <f t="shared" si="21"/>
        <v>801468</v>
      </c>
      <c r="BY8" s="771">
        <f t="shared" si="22"/>
        <v>2697362</v>
      </c>
      <c r="BZ8" s="772">
        <f t="shared" si="2"/>
        <v>1458168</v>
      </c>
      <c r="CA8" s="779">
        <f t="shared" si="2"/>
        <v>1239194</v>
      </c>
    </row>
    <row r="9" spans="1:79" ht="17.25" x14ac:dyDescent="0.35">
      <c r="A9" s="1570" t="s">
        <v>365</v>
      </c>
      <c r="B9" s="749"/>
      <c r="C9" s="750"/>
      <c r="D9" s="751"/>
      <c r="E9" s="755"/>
      <c r="F9" s="753"/>
      <c r="G9" s="754"/>
      <c r="H9" s="755"/>
      <c r="I9" s="753"/>
      <c r="J9" s="754">
        <f t="shared" si="3"/>
        <v>0</v>
      </c>
      <c r="K9" s="755">
        <v>1920016</v>
      </c>
      <c r="L9" s="753">
        <v>283848</v>
      </c>
      <c r="M9" s="766">
        <f t="shared" si="0"/>
        <v>1636168</v>
      </c>
      <c r="N9" s="755"/>
      <c r="O9" s="753"/>
      <c r="P9" s="754">
        <f t="shared" si="4"/>
        <v>0</v>
      </c>
      <c r="Q9" s="755"/>
      <c r="R9" s="753"/>
      <c r="S9" s="754">
        <f t="shared" si="5"/>
        <v>0</v>
      </c>
      <c r="T9" s="752"/>
      <c r="U9" s="753"/>
      <c r="V9" s="754">
        <f t="shared" si="6"/>
        <v>0</v>
      </c>
      <c r="W9" s="755">
        <v>275785</v>
      </c>
      <c r="X9" s="753">
        <v>17409</v>
      </c>
      <c r="Y9" s="754">
        <f t="shared" si="7"/>
        <v>258376</v>
      </c>
      <c r="Z9" s="755"/>
      <c r="AA9" s="753"/>
      <c r="AB9" s="754">
        <f t="shared" si="8"/>
        <v>0</v>
      </c>
      <c r="AC9" s="755"/>
      <c r="AD9" s="753"/>
      <c r="AE9" s="754">
        <f t="shared" si="9"/>
        <v>0</v>
      </c>
      <c r="AF9" s="755">
        <v>2866745</v>
      </c>
      <c r="AG9" s="753">
        <v>389169</v>
      </c>
      <c r="AH9" s="754">
        <f t="shared" si="10"/>
        <v>2477576</v>
      </c>
      <c r="AI9" s="755">
        <v>2091012</v>
      </c>
      <c r="AJ9" s="753">
        <v>50770</v>
      </c>
      <c r="AK9" s="754">
        <f t="shared" si="11"/>
        <v>2040242</v>
      </c>
      <c r="AL9" s="755">
        <v>1218797</v>
      </c>
      <c r="AM9" s="753">
        <v>43459</v>
      </c>
      <c r="AN9" s="758">
        <f t="shared" si="12"/>
        <v>1175338</v>
      </c>
      <c r="AO9" s="755"/>
      <c r="AP9" s="753"/>
      <c r="AQ9" s="754">
        <f t="shared" si="13"/>
        <v>0</v>
      </c>
      <c r="AR9" s="755"/>
      <c r="AS9" s="753"/>
      <c r="AT9" s="754"/>
      <c r="AU9" s="755"/>
      <c r="AV9" s="753"/>
      <c r="AW9" s="754">
        <f t="shared" si="14"/>
        <v>0</v>
      </c>
      <c r="AX9" s="755">
        <v>244323</v>
      </c>
      <c r="AY9" s="753">
        <v>17118</v>
      </c>
      <c r="AZ9" s="754">
        <f t="shared" si="15"/>
        <v>227205</v>
      </c>
      <c r="BA9" s="755"/>
      <c r="BB9" s="753"/>
      <c r="BC9" s="754">
        <f t="shared" si="16"/>
        <v>0</v>
      </c>
      <c r="BD9" s="1548"/>
      <c r="BE9" s="760"/>
      <c r="BF9" s="775"/>
      <c r="BG9" s="1552">
        <v>677870</v>
      </c>
      <c r="BH9" s="1553">
        <v>81702</v>
      </c>
      <c r="BI9" s="1581">
        <v>596168</v>
      </c>
      <c r="BJ9" s="1550">
        <v>134370</v>
      </c>
      <c r="BK9" s="768">
        <v>13038</v>
      </c>
      <c r="BL9" s="1551">
        <f t="shared" si="17"/>
        <v>121332</v>
      </c>
      <c r="BM9" s="1550"/>
      <c r="BN9" s="768"/>
      <c r="BO9" s="1551">
        <f t="shared" si="18"/>
        <v>0</v>
      </c>
      <c r="BP9" s="755">
        <v>1049746</v>
      </c>
      <c r="BQ9" s="753">
        <v>105831</v>
      </c>
      <c r="BR9" s="754">
        <f t="shared" si="19"/>
        <v>943915</v>
      </c>
      <c r="BS9" s="780">
        <f t="shared" si="20"/>
        <v>10478664</v>
      </c>
      <c r="BT9" s="772">
        <f t="shared" si="1"/>
        <v>1002344</v>
      </c>
      <c r="BU9" s="779">
        <f t="shared" si="1"/>
        <v>9476320</v>
      </c>
      <c r="BV9" s="1550">
        <v>23636017</v>
      </c>
      <c r="BW9" s="768">
        <v>6788859</v>
      </c>
      <c r="BX9" s="1551">
        <f t="shared" si="21"/>
        <v>16847158</v>
      </c>
      <c r="BY9" s="771">
        <f t="shared" si="22"/>
        <v>34114681</v>
      </c>
      <c r="BZ9" s="772">
        <f t="shared" si="2"/>
        <v>7791203</v>
      </c>
      <c r="CA9" s="779">
        <f t="shared" si="2"/>
        <v>26323478</v>
      </c>
    </row>
    <row r="10" spans="1:79" ht="17.25" x14ac:dyDescent="0.35">
      <c r="A10" s="1570" t="s">
        <v>366</v>
      </c>
      <c r="B10" s="749"/>
      <c r="C10" s="750"/>
      <c r="D10" s="751"/>
      <c r="E10" s="755"/>
      <c r="F10" s="753"/>
      <c r="G10" s="754"/>
      <c r="H10" s="755"/>
      <c r="I10" s="753"/>
      <c r="J10" s="754">
        <f t="shared" si="3"/>
        <v>0</v>
      </c>
      <c r="K10" s="755"/>
      <c r="L10" s="753"/>
      <c r="M10" s="766">
        <f t="shared" si="0"/>
        <v>0</v>
      </c>
      <c r="N10" s="755"/>
      <c r="O10" s="753"/>
      <c r="P10" s="754">
        <f t="shared" si="4"/>
        <v>0</v>
      </c>
      <c r="Q10" s="755"/>
      <c r="R10" s="753"/>
      <c r="S10" s="754">
        <f t="shared" si="5"/>
        <v>0</v>
      </c>
      <c r="T10" s="752"/>
      <c r="U10" s="753"/>
      <c r="V10" s="754">
        <f t="shared" si="6"/>
        <v>0</v>
      </c>
      <c r="W10" s="755"/>
      <c r="X10" s="753"/>
      <c r="Y10" s="754">
        <f t="shared" si="7"/>
        <v>0</v>
      </c>
      <c r="Z10" s="755"/>
      <c r="AA10" s="753"/>
      <c r="AB10" s="754">
        <f t="shared" si="8"/>
        <v>0</v>
      </c>
      <c r="AC10" s="755"/>
      <c r="AD10" s="753"/>
      <c r="AE10" s="754">
        <f t="shared" si="9"/>
        <v>0</v>
      </c>
      <c r="AF10" s="755"/>
      <c r="AG10" s="753"/>
      <c r="AH10" s="754">
        <f t="shared" si="10"/>
        <v>0</v>
      </c>
      <c r="AI10" s="755"/>
      <c r="AJ10" s="753"/>
      <c r="AK10" s="754">
        <f t="shared" si="11"/>
        <v>0</v>
      </c>
      <c r="AL10" s="755"/>
      <c r="AM10" s="753"/>
      <c r="AN10" s="758">
        <f t="shared" si="12"/>
        <v>0</v>
      </c>
      <c r="AO10" s="755"/>
      <c r="AP10" s="753"/>
      <c r="AQ10" s="754">
        <f t="shared" si="13"/>
        <v>0</v>
      </c>
      <c r="AR10" s="755"/>
      <c r="AS10" s="753"/>
      <c r="AT10" s="754"/>
      <c r="AU10" s="755"/>
      <c r="AV10" s="753"/>
      <c r="AW10" s="754">
        <f t="shared" si="14"/>
        <v>0</v>
      </c>
      <c r="AX10" s="755"/>
      <c r="AY10" s="753"/>
      <c r="AZ10" s="754">
        <f t="shared" si="15"/>
        <v>0</v>
      </c>
      <c r="BA10" s="755"/>
      <c r="BB10" s="753"/>
      <c r="BC10" s="754">
        <f t="shared" si="16"/>
        <v>0</v>
      </c>
      <c r="BD10" s="1548"/>
      <c r="BE10" s="760"/>
      <c r="BF10" s="775"/>
      <c r="BG10" s="1552">
        <v>1427317</v>
      </c>
      <c r="BH10" s="1553">
        <v>52731</v>
      </c>
      <c r="BI10" s="1581">
        <v>1374586</v>
      </c>
      <c r="BJ10" s="1550"/>
      <c r="BK10" s="768"/>
      <c r="BL10" s="1551">
        <f t="shared" si="17"/>
        <v>0</v>
      </c>
      <c r="BM10" s="1550"/>
      <c r="BN10" s="768"/>
      <c r="BO10" s="1551">
        <f t="shared" si="18"/>
        <v>0</v>
      </c>
      <c r="BP10" s="755"/>
      <c r="BQ10" s="753"/>
      <c r="BR10" s="754">
        <f t="shared" si="19"/>
        <v>0</v>
      </c>
      <c r="BS10" s="780">
        <f t="shared" si="20"/>
        <v>1427317</v>
      </c>
      <c r="BT10" s="772">
        <f t="shared" si="1"/>
        <v>52731</v>
      </c>
      <c r="BU10" s="779">
        <f t="shared" si="1"/>
        <v>1374586</v>
      </c>
      <c r="BV10" s="1550"/>
      <c r="BW10" s="768"/>
      <c r="BX10" s="1551">
        <f t="shared" si="21"/>
        <v>0</v>
      </c>
      <c r="BY10" s="771">
        <f t="shared" si="22"/>
        <v>1427317</v>
      </c>
      <c r="BZ10" s="772">
        <f t="shared" si="2"/>
        <v>52731</v>
      </c>
      <c r="CA10" s="779">
        <f t="shared" si="2"/>
        <v>1374586</v>
      </c>
    </row>
    <row r="11" spans="1:79" ht="17.25" x14ac:dyDescent="0.35">
      <c r="A11" s="1570" t="s">
        <v>367</v>
      </c>
      <c r="B11" s="776">
        <v>160042</v>
      </c>
      <c r="C11" s="777">
        <v>124562</v>
      </c>
      <c r="D11" s="778">
        <v>35480</v>
      </c>
      <c r="E11" s="780">
        <v>6980</v>
      </c>
      <c r="F11" s="772">
        <v>6587</v>
      </c>
      <c r="G11" s="779">
        <v>393</v>
      </c>
      <c r="H11" s="780">
        <v>138540</v>
      </c>
      <c r="I11" s="772">
        <v>137534</v>
      </c>
      <c r="J11" s="754">
        <f t="shared" si="3"/>
        <v>1006</v>
      </c>
      <c r="K11" s="1561">
        <v>286272</v>
      </c>
      <c r="L11" s="772">
        <v>198184</v>
      </c>
      <c r="M11" s="766">
        <v>88088</v>
      </c>
      <c r="N11" s="780">
        <v>57496</v>
      </c>
      <c r="O11" s="772">
        <v>46480</v>
      </c>
      <c r="P11" s="754">
        <f t="shared" si="4"/>
        <v>11016</v>
      </c>
      <c r="Q11" s="780">
        <v>25429</v>
      </c>
      <c r="R11" s="772">
        <v>22757</v>
      </c>
      <c r="S11" s="754">
        <f t="shared" si="5"/>
        <v>2672</v>
      </c>
      <c r="T11" s="771">
        <v>40793</v>
      </c>
      <c r="U11" s="772">
        <v>26453</v>
      </c>
      <c r="V11" s="754">
        <f t="shared" si="6"/>
        <v>14340</v>
      </c>
      <c r="W11" s="780">
        <v>96124</v>
      </c>
      <c r="X11" s="772">
        <v>41767</v>
      </c>
      <c r="Y11" s="754">
        <f t="shared" si="7"/>
        <v>54357</v>
      </c>
      <c r="Z11" s="780">
        <v>118832</v>
      </c>
      <c r="AA11" s="772">
        <v>95026</v>
      </c>
      <c r="AB11" s="754">
        <f t="shared" si="8"/>
        <v>23806</v>
      </c>
      <c r="AC11" s="780">
        <v>51241</v>
      </c>
      <c r="AD11" s="772">
        <v>32802</v>
      </c>
      <c r="AE11" s="754">
        <f t="shared" si="9"/>
        <v>18439</v>
      </c>
      <c r="AF11" s="780">
        <v>696540</v>
      </c>
      <c r="AG11" s="772">
        <v>643083</v>
      </c>
      <c r="AH11" s="754">
        <f t="shared" si="10"/>
        <v>53457</v>
      </c>
      <c r="AI11" s="780">
        <v>334392</v>
      </c>
      <c r="AJ11" s="772">
        <v>237864</v>
      </c>
      <c r="AK11" s="754">
        <f t="shared" si="11"/>
        <v>96528</v>
      </c>
      <c r="AL11" s="1555">
        <v>95841</v>
      </c>
      <c r="AM11" s="757">
        <v>72548</v>
      </c>
      <c r="AN11" s="758">
        <f t="shared" si="12"/>
        <v>23293</v>
      </c>
      <c r="AO11" s="780">
        <v>22712</v>
      </c>
      <c r="AP11" s="772">
        <v>21404</v>
      </c>
      <c r="AQ11" s="754">
        <f t="shared" si="13"/>
        <v>1308</v>
      </c>
      <c r="AR11" s="1556">
        <v>534403</v>
      </c>
      <c r="AS11" s="782">
        <v>380144</v>
      </c>
      <c r="AT11" s="754">
        <f t="shared" ref="AT11:AT14" si="23">AR11-AS11</f>
        <v>154259</v>
      </c>
      <c r="AU11" s="780">
        <v>347372</v>
      </c>
      <c r="AV11" s="772">
        <v>289469</v>
      </c>
      <c r="AW11" s="754">
        <f t="shared" si="14"/>
        <v>57903</v>
      </c>
      <c r="AX11" s="780">
        <v>71725</v>
      </c>
      <c r="AY11" s="772">
        <v>50049</v>
      </c>
      <c r="AZ11" s="754">
        <f t="shared" si="15"/>
        <v>21676</v>
      </c>
      <c r="BA11" s="780">
        <v>125179</v>
      </c>
      <c r="BB11" s="772">
        <v>120835</v>
      </c>
      <c r="BC11" s="754">
        <f t="shared" si="16"/>
        <v>4344</v>
      </c>
      <c r="BD11" s="1548"/>
      <c r="BE11" s="760"/>
      <c r="BF11" s="775"/>
      <c r="BG11" s="1552">
        <v>855990</v>
      </c>
      <c r="BH11" s="1553">
        <v>489083</v>
      </c>
      <c r="BI11" s="1581">
        <v>366907</v>
      </c>
      <c r="BJ11" s="1550">
        <v>230177</v>
      </c>
      <c r="BK11" s="768">
        <v>93614</v>
      </c>
      <c r="BL11" s="1551">
        <f t="shared" si="17"/>
        <v>136563</v>
      </c>
      <c r="BM11" s="1550">
        <v>34641</v>
      </c>
      <c r="BN11" s="768">
        <v>23729</v>
      </c>
      <c r="BO11" s="1551">
        <f t="shared" si="18"/>
        <v>10912</v>
      </c>
      <c r="BP11" s="780">
        <v>244947</v>
      </c>
      <c r="BQ11" s="772">
        <v>201146</v>
      </c>
      <c r="BR11" s="754">
        <f t="shared" si="19"/>
        <v>43801</v>
      </c>
      <c r="BS11" s="780">
        <f t="shared" si="20"/>
        <v>4575668</v>
      </c>
      <c r="BT11" s="772">
        <f t="shared" si="1"/>
        <v>3355120</v>
      </c>
      <c r="BU11" s="779">
        <f t="shared" si="1"/>
        <v>1220548</v>
      </c>
      <c r="BV11" s="780">
        <v>4408112</v>
      </c>
      <c r="BW11" s="772">
        <v>3369690</v>
      </c>
      <c r="BX11" s="1551">
        <f t="shared" si="21"/>
        <v>1038422</v>
      </c>
      <c r="BY11" s="771">
        <f t="shared" si="22"/>
        <v>8983780</v>
      </c>
      <c r="BZ11" s="772">
        <f t="shared" si="2"/>
        <v>6724810</v>
      </c>
      <c r="CA11" s="779">
        <f t="shared" si="2"/>
        <v>2258970</v>
      </c>
    </row>
    <row r="12" spans="1:79" ht="17.25" x14ac:dyDescent="0.35">
      <c r="A12" s="1570" t="s">
        <v>368</v>
      </c>
      <c r="B12" s="776">
        <v>850779</v>
      </c>
      <c r="C12" s="777">
        <v>726097</v>
      </c>
      <c r="D12" s="778">
        <v>124682</v>
      </c>
      <c r="E12" s="780">
        <v>90053</v>
      </c>
      <c r="F12" s="772">
        <v>79295</v>
      </c>
      <c r="G12" s="779">
        <v>10758</v>
      </c>
      <c r="H12" s="780">
        <v>488140</v>
      </c>
      <c r="I12" s="772">
        <v>450606</v>
      </c>
      <c r="J12" s="754">
        <f t="shared" si="3"/>
        <v>37534</v>
      </c>
      <c r="K12" s="780">
        <v>577522</v>
      </c>
      <c r="L12" s="772">
        <v>489247</v>
      </c>
      <c r="M12" s="766">
        <v>88275</v>
      </c>
      <c r="N12" s="780">
        <v>295263</v>
      </c>
      <c r="O12" s="772">
        <v>192805</v>
      </c>
      <c r="P12" s="754">
        <f t="shared" si="4"/>
        <v>102458</v>
      </c>
      <c r="Q12" s="780">
        <v>367283</v>
      </c>
      <c r="R12" s="772">
        <v>331388</v>
      </c>
      <c r="S12" s="754">
        <f t="shared" si="5"/>
        <v>35895</v>
      </c>
      <c r="T12" s="771">
        <v>274817</v>
      </c>
      <c r="U12" s="772">
        <v>168234</v>
      </c>
      <c r="V12" s="754">
        <f t="shared" si="6"/>
        <v>106583</v>
      </c>
      <c r="W12" s="780">
        <v>278967</v>
      </c>
      <c r="X12" s="772">
        <v>200482</v>
      </c>
      <c r="Y12" s="754">
        <f t="shared" si="7"/>
        <v>78485</v>
      </c>
      <c r="Z12" s="780">
        <v>341732</v>
      </c>
      <c r="AA12" s="772">
        <v>236067</v>
      </c>
      <c r="AB12" s="754">
        <f t="shared" si="8"/>
        <v>105665</v>
      </c>
      <c r="AC12" s="780">
        <v>328618</v>
      </c>
      <c r="AD12" s="772">
        <v>132402</v>
      </c>
      <c r="AE12" s="754">
        <f t="shared" si="9"/>
        <v>196216</v>
      </c>
      <c r="AF12" s="780">
        <v>968317</v>
      </c>
      <c r="AG12" s="772">
        <v>844935</v>
      </c>
      <c r="AH12" s="754">
        <f t="shared" si="10"/>
        <v>123382</v>
      </c>
      <c r="AI12" s="780">
        <v>487685</v>
      </c>
      <c r="AJ12" s="772">
        <v>390075</v>
      </c>
      <c r="AK12" s="754">
        <f t="shared" si="11"/>
        <v>97610</v>
      </c>
      <c r="AL12" s="1555">
        <v>100530</v>
      </c>
      <c r="AM12" s="757">
        <v>83298</v>
      </c>
      <c r="AN12" s="758">
        <f t="shared" si="12"/>
        <v>17232</v>
      </c>
      <c r="AO12" s="780">
        <v>312997</v>
      </c>
      <c r="AP12" s="772">
        <v>287604</v>
      </c>
      <c r="AQ12" s="754">
        <f t="shared" si="13"/>
        <v>25393</v>
      </c>
      <c r="AR12" s="1556">
        <v>697870</v>
      </c>
      <c r="AS12" s="782">
        <v>481561</v>
      </c>
      <c r="AT12" s="754">
        <f t="shared" si="23"/>
        <v>216309</v>
      </c>
      <c r="AU12" s="780">
        <v>1287607</v>
      </c>
      <c r="AV12" s="772">
        <v>1096529</v>
      </c>
      <c r="AW12" s="754">
        <f t="shared" si="14"/>
        <v>191078</v>
      </c>
      <c r="AX12" s="780">
        <f>612284+195708</f>
        <v>807992</v>
      </c>
      <c r="AY12" s="772">
        <f>507134+122318</f>
        <v>629452</v>
      </c>
      <c r="AZ12" s="754">
        <f t="shared" si="15"/>
        <v>178540</v>
      </c>
      <c r="BA12" s="780">
        <v>525219</v>
      </c>
      <c r="BB12" s="772">
        <v>447087</v>
      </c>
      <c r="BC12" s="754">
        <f t="shared" si="16"/>
        <v>78132</v>
      </c>
      <c r="BD12" s="1548"/>
      <c r="BE12" s="760"/>
      <c r="BF12" s="775"/>
      <c r="BG12" s="1552">
        <v>1357502</v>
      </c>
      <c r="BH12" s="1553">
        <v>1229920</v>
      </c>
      <c r="BI12" s="1581">
        <v>127582</v>
      </c>
      <c r="BJ12" s="1550">
        <v>189717</v>
      </c>
      <c r="BK12" s="768">
        <v>153949</v>
      </c>
      <c r="BL12" s="1551">
        <f t="shared" si="17"/>
        <v>35768</v>
      </c>
      <c r="BM12" s="1550">
        <v>134663</v>
      </c>
      <c r="BN12" s="768">
        <v>108779</v>
      </c>
      <c r="BO12" s="1551">
        <f t="shared" si="18"/>
        <v>25884</v>
      </c>
      <c r="BP12" s="780">
        <v>1108184</v>
      </c>
      <c r="BQ12" s="772">
        <v>795850</v>
      </c>
      <c r="BR12" s="754">
        <f t="shared" si="19"/>
        <v>312334</v>
      </c>
      <c r="BS12" s="780">
        <f t="shared" si="20"/>
        <v>11871457</v>
      </c>
      <c r="BT12" s="772">
        <f t="shared" si="1"/>
        <v>9555662</v>
      </c>
      <c r="BU12" s="779">
        <f t="shared" si="1"/>
        <v>2315795</v>
      </c>
      <c r="BV12" s="780">
        <v>11434585</v>
      </c>
      <c r="BW12" s="772">
        <v>9903148</v>
      </c>
      <c r="BX12" s="1551">
        <f t="shared" si="21"/>
        <v>1531437</v>
      </c>
      <c r="BY12" s="771">
        <f t="shared" si="22"/>
        <v>23306042</v>
      </c>
      <c r="BZ12" s="772">
        <f t="shared" si="2"/>
        <v>19458810</v>
      </c>
      <c r="CA12" s="779">
        <f t="shared" si="2"/>
        <v>3847232</v>
      </c>
    </row>
    <row r="13" spans="1:79" ht="17.25" x14ac:dyDescent="0.35">
      <c r="A13" s="1570" t="s">
        <v>369</v>
      </c>
      <c r="B13" s="749">
        <v>77307</v>
      </c>
      <c r="C13" s="750">
        <v>24405</v>
      </c>
      <c r="D13" s="751">
        <v>52902</v>
      </c>
      <c r="E13" s="755">
        <v>276</v>
      </c>
      <c r="F13" s="753">
        <v>275</v>
      </c>
      <c r="G13" s="754"/>
      <c r="H13" s="755">
        <v>2782</v>
      </c>
      <c r="I13" s="753">
        <v>2362</v>
      </c>
      <c r="J13" s="754">
        <f t="shared" si="3"/>
        <v>420</v>
      </c>
      <c r="K13" s="755">
        <v>38370</v>
      </c>
      <c r="L13" s="753">
        <v>22552</v>
      </c>
      <c r="M13" s="766">
        <f t="shared" si="0"/>
        <v>15818</v>
      </c>
      <c r="N13" s="755"/>
      <c r="O13" s="753"/>
      <c r="P13" s="754">
        <f t="shared" si="4"/>
        <v>0</v>
      </c>
      <c r="Q13" s="755">
        <v>5940</v>
      </c>
      <c r="R13" s="753">
        <v>556</v>
      </c>
      <c r="S13" s="754">
        <f t="shared" si="5"/>
        <v>5384</v>
      </c>
      <c r="T13" s="752"/>
      <c r="U13" s="753"/>
      <c r="V13" s="754">
        <f t="shared" si="6"/>
        <v>0</v>
      </c>
      <c r="W13" s="755">
        <v>10540</v>
      </c>
      <c r="X13" s="753">
        <v>7734</v>
      </c>
      <c r="Y13" s="754">
        <f t="shared" si="7"/>
        <v>2806</v>
      </c>
      <c r="Z13" s="755">
        <v>16304</v>
      </c>
      <c r="AA13" s="753">
        <v>15659</v>
      </c>
      <c r="AB13" s="754">
        <f t="shared" si="8"/>
        <v>645</v>
      </c>
      <c r="AC13" s="755">
        <v>8006</v>
      </c>
      <c r="AD13" s="753">
        <v>5398</v>
      </c>
      <c r="AE13" s="754">
        <f t="shared" si="9"/>
        <v>2608</v>
      </c>
      <c r="AF13" s="755">
        <v>177249</v>
      </c>
      <c r="AG13" s="753">
        <v>84935</v>
      </c>
      <c r="AH13" s="754">
        <v>92397</v>
      </c>
      <c r="AI13" s="755">
        <v>95654</v>
      </c>
      <c r="AJ13" s="753">
        <v>30008</v>
      </c>
      <c r="AK13" s="754">
        <f t="shared" si="11"/>
        <v>65646</v>
      </c>
      <c r="AL13" s="1555">
        <v>32082</v>
      </c>
      <c r="AM13" s="757">
        <v>10348</v>
      </c>
      <c r="AN13" s="758">
        <f t="shared" si="12"/>
        <v>21734</v>
      </c>
      <c r="AO13" s="755">
        <v>21861</v>
      </c>
      <c r="AP13" s="753">
        <v>2232</v>
      </c>
      <c r="AQ13" s="754">
        <f t="shared" si="13"/>
        <v>19629</v>
      </c>
      <c r="AR13" s="755">
        <v>102478</v>
      </c>
      <c r="AS13" s="753">
        <v>53404</v>
      </c>
      <c r="AT13" s="754">
        <f t="shared" si="23"/>
        <v>49074</v>
      </c>
      <c r="AU13" s="755">
        <v>33613</v>
      </c>
      <c r="AV13" s="753">
        <v>28215</v>
      </c>
      <c r="AW13" s="754">
        <f t="shared" si="14"/>
        <v>5398</v>
      </c>
      <c r="AX13" s="755"/>
      <c r="AY13" s="753"/>
      <c r="AZ13" s="754">
        <f t="shared" si="15"/>
        <v>0</v>
      </c>
      <c r="BA13" s="755"/>
      <c r="BB13" s="753"/>
      <c r="BC13" s="754">
        <f t="shared" si="16"/>
        <v>0</v>
      </c>
      <c r="BD13" s="1548"/>
      <c r="BE13" s="760"/>
      <c r="BF13" s="775"/>
      <c r="BG13" s="1552">
        <v>4343</v>
      </c>
      <c r="BH13" s="1553">
        <v>1319</v>
      </c>
      <c r="BI13" s="1581">
        <v>3023</v>
      </c>
      <c r="BJ13" s="1550">
        <v>6929</v>
      </c>
      <c r="BK13" s="768">
        <v>5313</v>
      </c>
      <c r="BL13" s="1551">
        <f t="shared" si="17"/>
        <v>1616</v>
      </c>
      <c r="BM13" s="1550">
        <v>24401</v>
      </c>
      <c r="BN13" s="768">
        <v>7117</v>
      </c>
      <c r="BO13" s="1551">
        <f t="shared" si="18"/>
        <v>17284</v>
      </c>
      <c r="BP13" s="755">
        <v>10523</v>
      </c>
      <c r="BQ13" s="753">
        <v>4527</v>
      </c>
      <c r="BR13" s="754">
        <f t="shared" si="19"/>
        <v>5996</v>
      </c>
      <c r="BS13" s="780">
        <f t="shared" si="20"/>
        <v>668658</v>
      </c>
      <c r="BT13" s="772">
        <f t="shared" si="1"/>
        <v>306359</v>
      </c>
      <c r="BU13" s="779">
        <f t="shared" si="1"/>
        <v>362380</v>
      </c>
      <c r="BV13" s="755">
        <v>7977910</v>
      </c>
      <c r="BW13" s="753">
        <v>4898552</v>
      </c>
      <c r="BX13" s="1551">
        <f t="shared" si="21"/>
        <v>3079358</v>
      </c>
      <c r="BY13" s="771">
        <f t="shared" si="22"/>
        <v>8646568</v>
      </c>
      <c r="BZ13" s="772">
        <f t="shared" si="2"/>
        <v>5204911</v>
      </c>
      <c r="CA13" s="779">
        <f t="shared" si="2"/>
        <v>3441738</v>
      </c>
    </row>
    <row r="14" spans="1:79" ht="17.25" x14ac:dyDescent="0.35">
      <c r="A14" s="1570" t="s">
        <v>370</v>
      </c>
      <c r="B14" s="749">
        <v>214404</v>
      </c>
      <c r="C14" s="750">
        <v>176453</v>
      </c>
      <c r="D14" s="751">
        <v>37951</v>
      </c>
      <c r="E14" s="755">
        <v>19450</v>
      </c>
      <c r="F14" s="753">
        <v>14184</v>
      </c>
      <c r="G14" s="754">
        <v>5266</v>
      </c>
      <c r="H14" s="755">
        <v>74945</v>
      </c>
      <c r="I14" s="753">
        <v>74500</v>
      </c>
      <c r="J14" s="754">
        <f t="shared" si="3"/>
        <v>445</v>
      </c>
      <c r="K14" s="755">
        <v>130333</v>
      </c>
      <c r="L14" s="753">
        <v>117494</v>
      </c>
      <c r="M14" s="766">
        <f t="shared" si="0"/>
        <v>12839</v>
      </c>
      <c r="N14" s="755">
        <v>93906</v>
      </c>
      <c r="O14" s="753">
        <v>48107</v>
      </c>
      <c r="P14" s="754">
        <f t="shared" si="4"/>
        <v>45799</v>
      </c>
      <c r="Q14" s="755">
        <v>18606</v>
      </c>
      <c r="R14" s="753">
        <v>15621</v>
      </c>
      <c r="S14" s="754">
        <f t="shared" si="5"/>
        <v>2985</v>
      </c>
      <c r="T14" s="752">
        <v>59115</v>
      </c>
      <c r="U14" s="753">
        <v>33175</v>
      </c>
      <c r="V14" s="754">
        <f t="shared" si="6"/>
        <v>25940</v>
      </c>
      <c r="W14" s="755">
        <v>84765</v>
      </c>
      <c r="X14" s="753">
        <v>69209</v>
      </c>
      <c r="Y14" s="754">
        <f t="shared" si="7"/>
        <v>15556</v>
      </c>
      <c r="Z14" s="755">
        <v>210944</v>
      </c>
      <c r="AA14" s="753">
        <v>169087</v>
      </c>
      <c r="AB14" s="754">
        <f t="shared" si="8"/>
        <v>41857</v>
      </c>
      <c r="AC14" s="755">
        <v>83842</v>
      </c>
      <c r="AD14" s="753">
        <v>45801</v>
      </c>
      <c r="AE14" s="754">
        <f t="shared" si="9"/>
        <v>38041</v>
      </c>
      <c r="AF14" s="755">
        <v>610190</v>
      </c>
      <c r="AG14" s="753">
        <v>516374</v>
      </c>
      <c r="AH14" s="754">
        <f t="shared" si="10"/>
        <v>93816</v>
      </c>
      <c r="AI14" s="755">
        <v>519324</v>
      </c>
      <c r="AJ14" s="753">
        <v>377297</v>
      </c>
      <c r="AK14" s="754">
        <f t="shared" si="11"/>
        <v>142027</v>
      </c>
      <c r="AL14" s="1555">
        <v>90499</v>
      </c>
      <c r="AM14" s="757">
        <v>55240</v>
      </c>
      <c r="AN14" s="758">
        <f t="shared" si="12"/>
        <v>35259</v>
      </c>
      <c r="AO14" s="755">
        <v>62329</v>
      </c>
      <c r="AP14" s="753">
        <v>57415</v>
      </c>
      <c r="AQ14" s="754">
        <f t="shared" si="13"/>
        <v>4914</v>
      </c>
      <c r="AR14" s="755">
        <v>183716</v>
      </c>
      <c r="AS14" s="753">
        <v>129731</v>
      </c>
      <c r="AT14" s="754">
        <f t="shared" si="23"/>
        <v>53985</v>
      </c>
      <c r="AU14" s="755">
        <v>514291</v>
      </c>
      <c r="AV14" s="753">
        <v>416869</v>
      </c>
      <c r="AW14" s="754">
        <f t="shared" si="14"/>
        <v>97422</v>
      </c>
      <c r="AX14" s="755">
        <v>109593</v>
      </c>
      <c r="AY14" s="753">
        <v>82682</v>
      </c>
      <c r="AZ14" s="754">
        <f t="shared" si="15"/>
        <v>26911</v>
      </c>
      <c r="BA14" s="755">
        <v>192350</v>
      </c>
      <c r="BB14" s="753">
        <v>164726</v>
      </c>
      <c r="BC14" s="754">
        <f t="shared" si="16"/>
        <v>27624</v>
      </c>
      <c r="BD14" s="1548"/>
      <c r="BE14" s="760"/>
      <c r="BF14" s="775"/>
      <c r="BG14" s="1552">
        <v>540994</v>
      </c>
      <c r="BH14" s="1553">
        <v>321082</v>
      </c>
      <c r="BI14" s="1581">
        <v>219912</v>
      </c>
      <c r="BJ14" s="1550">
        <v>46736</v>
      </c>
      <c r="BK14" s="768">
        <v>18062</v>
      </c>
      <c r="BL14" s="1551">
        <f t="shared" si="17"/>
        <v>28674</v>
      </c>
      <c r="BM14" s="1550">
        <v>38958</v>
      </c>
      <c r="BN14" s="768">
        <v>24115</v>
      </c>
      <c r="BO14" s="1551">
        <f t="shared" si="18"/>
        <v>14843</v>
      </c>
      <c r="BP14" s="755">
        <v>284297</v>
      </c>
      <c r="BQ14" s="753">
        <v>212324</v>
      </c>
      <c r="BR14" s="754">
        <f t="shared" si="19"/>
        <v>71973</v>
      </c>
      <c r="BS14" s="780">
        <f t="shared" si="20"/>
        <v>4183587</v>
      </c>
      <c r="BT14" s="772">
        <f t="shared" si="1"/>
        <v>3139548</v>
      </c>
      <c r="BU14" s="779">
        <f t="shared" si="1"/>
        <v>1044039</v>
      </c>
      <c r="BV14" s="755">
        <v>661433</v>
      </c>
      <c r="BW14" s="753">
        <v>558374</v>
      </c>
      <c r="BX14" s="1551">
        <f t="shared" si="21"/>
        <v>103059</v>
      </c>
      <c r="BY14" s="771">
        <f t="shared" si="22"/>
        <v>4845020</v>
      </c>
      <c r="BZ14" s="772">
        <f t="shared" si="2"/>
        <v>3697922</v>
      </c>
      <c r="CA14" s="779">
        <f t="shared" si="2"/>
        <v>1147098</v>
      </c>
    </row>
    <row r="15" spans="1:79" ht="17.25" x14ac:dyDescent="0.35">
      <c r="A15" s="1570" t="s">
        <v>371</v>
      </c>
      <c r="B15" s="749">
        <v>370160</v>
      </c>
      <c r="C15" s="750">
        <v>320231</v>
      </c>
      <c r="D15" s="751">
        <v>49929</v>
      </c>
      <c r="E15" s="755">
        <v>46471</v>
      </c>
      <c r="F15" s="753">
        <v>24209</v>
      </c>
      <c r="G15" s="754">
        <v>22262</v>
      </c>
      <c r="H15" s="755">
        <v>288615</v>
      </c>
      <c r="I15" s="753">
        <v>277070</v>
      </c>
      <c r="J15" s="754">
        <f t="shared" si="3"/>
        <v>11545</v>
      </c>
      <c r="K15" s="755">
        <v>372897</v>
      </c>
      <c r="L15" s="753">
        <v>269182</v>
      </c>
      <c r="M15" s="766">
        <f t="shared" si="0"/>
        <v>103715</v>
      </c>
      <c r="N15" s="755">
        <v>137971</v>
      </c>
      <c r="O15" s="753">
        <v>118621</v>
      </c>
      <c r="P15" s="754">
        <f t="shared" si="4"/>
        <v>19350</v>
      </c>
      <c r="Q15" s="755">
        <v>52233</v>
      </c>
      <c r="R15" s="753">
        <v>38371</v>
      </c>
      <c r="S15" s="754">
        <f t="shared" si="5"/>
        <v>13862</v>
      </c>
      <c r="T15" s="752">
        <v>220688</v>
      </c>
      <c r="U15" s="753">
        <v>89320</v>
      </c>
      <c r="V15" s="754">
        <f t="shared" si="6"/>
        <v>131368</v>
      </c>
      <c r="W15" s="755">
        <v>148513</v>
      </c>
      <c r="X15" s="753">
        <v>73762</v>
      </c>
      <c r="Y15" s="754">
        <f t="shared" si="7"/>
        <v>74751</v>
      </c>
      <c r="Z15" s="755">
        <v>593598</v>
      </c>
      <c r="AA15" s="753">
        <v>491883</v>
      </c>
      <c r="AB15" s="754">
        <f t="shared" si="8"/>
        <v>101715</v>
      </c>
      <c r="AC15" s="755">
        <v>111869</v>
      </c>
      <c r="AD15" s="753">
        <v>51970</v>
      </c>
      <c r="AE15" s="754">
        <f t="shared" si="9"/>
        <v>59899</v>
      </c>
      <c r="AF15" s="755">
        <v>15594</v>
      </c>
      <c r="AG15" s="753">
        <v>13703</v>
      </c>
      <c r="AH15" s="754">
        <f t="shared" si="10"/>
        <v>1891</v>
      </c>
      <c r="AI15" s="755"/>
      <c r="AJ15" s="753"/>
      <c r="AK15" s="754">
        <f t="shared" si="11"/>
        <v>0</v>
      </c>
      <c r="AL15" s="1555">
        <v>23544</v>
      </c>
      <c r="AM15" s="757">
        <v>20126</v>
      </c>
      <c r="AN15" s="758">
        <f t="shared" si="12"/>
        <v>3418</v>
      </c>
      <c r="AO15" s="755">
        <v>177375</v>
      </c>
      <c r="AP15" s="753">
        <v>149224</v>
      </c>
      <c r="AQ15" s="754">
        <f t="shared" si="13"/>
        <v>28151</v>
      </c>
      <c r="AR15" s="755"/>
      <c r="AS15" s="753"/>
      <c r="AT15" s="754"/>
      <c r="AU15" s="755">
        <v>1201421</v>
      </c>
      <c r="AV15" s="753">
        <v>1009986</v>
      </c>
      <c r="AW15" s="754">
        <f t="shared" si="14"/>
        <v>191435</v>
      </c>
      <c r="AX15" s="755"/>
      <c r="AY15" s="753"/>
      <c r="AZ15" s="754"/>
      <c r="BA15" s="755"/>
      <c r="BB15" s="753"/>
      <c r="BC15" s="754"/>
      <c r="BD15" s="1548"/>
      <c r="BE15" s="760"/>
      <c r="BF15" s="775"/>
      <c r="BG15" s="1552">
        <v>679583</v>
      </c>
      <c r="BH15" s="1553">
        <v>203428</v>
      </c>
      <c r="BI15" s="1581">
        <v>476155</v>
      </c>
      <c r="BJ15" s="1550"/>
      <c r="BK15" s="768"/>
      <c r="BL15" s="1551">
        <f t="shared" si="17"/>
        <v>0</v>
      </c>
      <c r="BM15" s="1550"/>
      <c r="BN15" s="768"/>
      <c r="BO15" s="1551">
        <f t="shared" si="18"/>
        <v>0</v>
      </c>
      <c r="BP15" s="755">
        <v>669585</v>
      </c>
      <c r="BQ15" s="753">
        <v>598776</v>
      </c>
      <c r="BR15" s="754">
        <f t="shared" si="19"/>
        <v>70809</v>
      </c>
      <c r="BS15" s="780">
        <f t="shared" si="20"/>
        <v>5110117</v>
      </c>
      <c r="BT15" s="772">
        <f t="shared" si="1"/>
        <v>3749862</v>
      </c>
      <c r="BU15" s="779">
        <f t="shared" si="1"/>
        <v>1360255</v>
      </c>
      <c r="BV15" s="755"/>
      <c r="BW15" s="753"/>
      <c r="BX15" s="1551"/>
      <c r="BY15" s="771">
        <f t="shared" si="22"/>
        <v>5110117</v>
      </c>
      <c r="BZ15" s="772">
        <f t="shared" si="2"/>
        <v>3749862</v>
      </c>
      <c r="CA15" s="779">
        <f t="shared" si="2"/>
        <v>1360255</v>
      </c>
    </row>
    <row r="16" spans="1:79" ht="17.25" x14ac:dyDescent="0.35">
      <c r="A16" s="1570" t="s">
        <v>372</v>
      </c>
      <c r="B16" s="776"/>
      <c r="C16" s="777"/>
      <c r="D16" s="778"/>
      <c r="E16" s="780"/>
      <c r="F16" s="772"/>
      <c r="G16" s="779"/>
      <c r="H16" s="780"/>
      <c r="I16" s="772"/>
      <c r="J16" s="754">
        <f t="shared" si="3"/>
        <v>0</v>
      </c>
      <c r="K16" s="780">
        <v>260883</v>
      </c>
      <c r="L16" s="772">
        <v>80684</v>
      </c>
      <c r="M16" s="766">
        <f t="shared" si="0"/>
        <v>180199</v>
      </c>
      <c r="N16" s="780"/>
      <c r="O16" s="772"/>
      <c r="P16" s="754">
        <f t="shared" si="4"/>
        <v>0</v>
      </c>
      <c r="Q16" s="780"/>
      <c r="R16" s="772"/>
      <c r="S16" s="754">
        <f t="shared" si="5"/>
        <v>0</v>
      </c>
      <c r="T16" s="771"/>
      <c r="U16" s="772"/>
      <c r="V16" s="779"/>
      <c r="W16" s="780"/>
      <c r="X16" s="772"/>
      <c r="Y16" s="779"/>
      <c r="Z16" s="780"/>
      <c r="AA16" s="772"/>
      <c r="AB16" s="779"/>
      <c r="AC16" s="780"/>
      <c r="AD16" s="772"/>
      <c r="AE16" s="779"/>
      <c r="AF16" s="780"/>
      <c r="AG16" s="772"/>
      <c r="AH16" s="779"/>
      <c r="AI16" s="780"/>
      <c r="AJ16" s="772"/>
      <c r="AK16" s="754">
        <f t="shared" si="11"/>
        <v>0</v>
      </c>
      <c r="AL16" s="1555">
        <v>105153</v>
      </c>
      <c r="AM16" s="757">
        <v>67936</v>
      </c>
      <c r="AN16" s="758">
        <f t="shared" si="12"/>
        <v>37217</v>
      </c>
      <c r="AO16" s="780"/>
      <c r="AP16" s="772"/>
      <c r="AQ16" s="754"/>
      <c r="AR16" s="1556"/>
      <c r="AS16" s="782"/>
      <c r="AT16" s="783"/>
      <c r="AU16" s="780"/>
      <c r="AV16" s="772"/>
      <c r="AW16" s="779"/>
      <c r="AX16" s="780"/>
      <c r="AY16" s="772"/>
      <c r="AZ16" s="779"/>
      <c r="BA16" s="780"/>
      <c r="BB16" s="772"/>
      <c r="BC16" s="779"/>
      <c r="BD16" s="1548"/>
      <c r="BE16" s="760"/>
      <c r="BF16" s="775"/>
      <c r="BG16" s="1552">
        <v>384811</v>
      </c>
      <c r="BH16" s="1553">
        <v>229676</v>
      </c>
      <c r="BI16" s="1581">
        <v>155135</v>
      </c>
      <c r="BJ16" s="1550"/>
      <c r="BK16" s="768"/>
      <c r="BL16" s="1551">
        <f t="shared" si="17"/>
        <v>0</v>
      </c>
      <c r="BM16" s="1550">
        <v>282194</v>
      </c>
      <c r="BN16" s="768">
        <v>258995</v>
      </c>
      <c r="BO16" s="1551">
        <f t="shared" si="18"/>
        <v>23199</v>
      </c>
      <c r="BP16" s="780"/>
      <c r="BQ16" s="772"/>
      <c r="BR16" s="779"/>
      <c r="BS16" s="780">
        <f t="shared" si="20"/>
        <v>1033041</v>
      </c>
      <c r="BT16" s="772">
        <f t="shared" si="1"/>
        <v>637291</v>
      </c>
      <c r="BU16" s="779">
        <f t="shared" si="1"/>
        <v>395750</v>
      </c>
      <c r="BV16" s="780"/>
      <c r="BW16" s="772"/>
      <c r="BX16" s="1551"/>
      <c r="BY16" s="771">
        <f t="shared" si="22"/>
        <v>1033041</v>
      </c>
      <c r="BZ16" s="772">
        <f t="shared" si="2"/>
        <v>637291</v>
      </c>
      <c r="CA16" s="779">
        <f t="shared" si="2"/>
        <v>395750</v>
      </c>
    </row>
    <row r="17" spans="1:79" ht="17.25" x14ac:dyDescent="0.35">
      <c r="A17" s="1570" t="s">
        <v>373</v>
      </c>
      <c r="B17" s="776"/>
      <c r="C17" s="777"/>
      <c r="D17" s="778"/>
      <c r="E17" s="780"/>
      <c r="F17" s="772"/>
      <c r="G17" s="779"/>
      <c r="H17" s="780"/>
      <c r="I17" s="772"/>
      <c r="J17" s="754"/>
      <c r="K17" s="780">
        <v>26897</v>
      </c>
      <c r="L17" s="772">
        <v>20752</v>
      </c>
      <c r="M17" s="766">
        <f t="shared" si="0"/>
        <v>6145</v>
      </c>
      <c r="N17" s="780"/>
      <c r="O17" s="772"/>
      <c r="P17" s="754">
        <f t="shared" si="4"/>
        <v>0</v>
      </c>
      <c r="Q17" s="780"/>
      <c r="R17" s="772"/>
      <c r="S17" s="754">
        <f t="shared" si="5"/>
        <v>0</v>
      </c>
      <c r="T17" s="771"/>
      <c r="U17" s="772"/>
      <c r="V17" s="779"/>
      <c r="W17" s="780"/>
      <c r="X17" s="772"/>
      <c r="Y17" s="779"/>
      <c r="Z17" s="780"/>
      <c r="AA17" s="772"/>
      <c r="AB17" s="779"/>
      <c r="AC17" s="780"/>
      <c r="AD17" s="772"/>
      <c r="AE17" s="779"/>
      <c r="AF17" s="780"/>
      <c r="AG17" s="772"/>
      <c r="AH17" s="779"/>
      <c r="AI17" s="780"/>
      <c r="AJ17" s="772"/>
      <c r="AK17" s="754">
        <f t="shared" si="11"/>
        <v>0</v>
      </c>
      <c r="AL17" s="1555">
        <v>15293</v>
      </c>
      <c r="AM17" s="757">
        <v>3251</v>
      </c>
      <c r="AN17" s="758">
        <f t="shared" si="12"/>
        <v>12042</v>
      </c>
      <c r="AO17" s="780"/>
      <c r="AP17" s="772"/>
      <c r="AQ17" s="779"/>
      <c r="AR17" s="1556"/>
      <c r="AS17" s="782"/>
      <c r="AT17" s="783"/>
      <c r="AU17" s="780"/>
      <c r="AV17" s="772"/>
      <c r="AW17" s="779"/>
      <c r="AX17" s="780"/>
      <c r="AY17" s="772"/>
      <c r="AZ17" s="779"/>
      <c r="BA17" s="780"/>
      <c r="BB17" s="772"/>
      <c r="BC17" s="779"/>
      <c r="BD17" s="1548"/>
      <c r="BE17" s="760"/>
      <c r="BF17" s="775"/>
      <c r="BG17" s="1552"/>
      <c r="BH17" s="1553"/>
      <c r="BI17" s="1581"/>
      <c r="BJ17" s="1550">
        <v>70458</v>
      </c>
      <c r="BK17" s="768">
        <v>26969</v>
      </c>
      <c r="BL17" s="1551">
        <f t="shared" si="17"/>
        <v>43489</v>
      </c>
      <c r="BM17" s="1550"/>
      <c r="BN17" s="768"/>
      <c r="BO17" s="1551">
        <f t="shared" si="18"/>
        <v>0</v>
      </c>
      <c r="BP17" s="780"/>
      <c r="BQ17" s="772"/>
      <c r="BR17" s="779"/>
      <c r="BS17" s="780">
        <f t="shared" si="20"/>
        <v>112648</v>
      </c>
      <c r="BT17" s="772">
        <f t="shared" si="1"/>
        <v>50972</v>
      </c>
      <c r="BU17" s="779">
        <f t="shared" si="1"/>
        <v>61676</v>
      </c>
      <c r="BV17" s="780"/>
      <c r="BW17" s="772"/>
      <c r="BX17" s="1551"/>
      <c r="BY17" s="771">
        <f t="shared" si="22"/>
        <v>112648</v>
      </c>
      <c r="BZ17" s="772">
        <f t="shared" si="2"/>
        <v>50972</v>
      </c>
      <c r="CA17" s="779">
        <f t="shared" si="2"/>
        <v>61676</v>
      </c>
    </row>
    <row r="18" spans="1:79" ht="17.25" x14ac:dyDescent="0.35">
      <c r="A18" s="1570" t="s">
        <v>374</v>
      </c>
      <c r="B18" s="776"/>
      <c r="C18" s="777"/>
      <c r="D18" s="778"/>
      <c r="E18" s="780"/>
      <c r="F18" s="772"/>
      <c r="G18" s="779"/>
      <c r="H18" s="780"/>
      <c r="I18" s="772"/>
      <c r="J18" s="754"/>
      <c r="K18" s="780">
        <v>131518</v>
      </c>
      <c r="L18" s="772">
        <v>89827</v>
      </c>
      <c r="M18" s="766">
        <f t="shared" si="0"/>
        <v>41691</v>
      </c>
      <c r="N18" s="780"/>
      <c r="O18" s="772"/>
      <c r="P18" s="779"/>
      <c r="Q18" s="780"/>
      <c r="R18" s="772"/>
      <c r="S18" s="754">
        <f t="shared" si="5"/>
        <v>0</v>
      </c>
      <c r="T18" s="771"/>
      <c r="U18" s="772"/>
      <c r="V18" s="779"/>
      <c r="W18" s="780"/>
      <c r="X18" s="772"/>
      <c r="Y18" s="779"/>
      <c r="Z18" s="780"/>
      <c r="AA18" s="772"/>
      <c r="AB18" s="779"/>
      <c r="AC18" s="780"/>
      <c r="AD18" s="772"/>
      <c r="AE18" s="779"/>
      <c r="AF18" s="780"/>
      <c r="AG18" s="772"/>
      <c r="AH18" s="779"/>
      <c r="AI18" s="780"/>
      <c r="AJ18" s="772"/>
      <c r="AK18" s="754">
        <f t="shared" si="11"/>
        <v>0</v>
      </c>
      <c r="AL18" s="1555"/>
      <c r="AM18" s="757"/>
      <c r="AN18" s="758"/>
      <c r="AO18" s="780"/>
      <c r="AP18" s="772"/>
      <c r="AQ18" s="779"/>
      <c r="AR18" s="1556"/>
      <c r="AS18" s="782"/>
      <c r="AT18" s="783"/>
      <c r="AU18" s="780"/>
      <c r="AV18" s="772"/>
      <c r="AW18" s="779"/>
      <c r="AX18" s="780"/>
      <c r="AY18" s="772"/>
      <c r="AZ18" s="779"/>
      <c r="BA18" s="780"/>
      <c r="BB18" s="772"/>
      <c r="BC18" s="779"/>
      <c r="BD18" s="1548"/>
      <c r="BE18" s="760"/>
      <c r="BF18" s="775"/>
      <c r="BG18" s="1552"/>
      <c r="BH18" s="1553"/>
      <c r="BI18" s="1581"/>
      <c r="BJ18" s="1550"/>
      <c r="BK18" s="768"/>
      <c r="BL18" s="1551"/>
      <c r="BM18" s="1550">
        <v>11326</v>
      </c>
      <c r="BN18" s="768">
        <v>6643</v>
      </c>
      <c r="BO18" s="1551">
        <f t="shared" si="18"/>
        <v>4683</v>
      </c>
      <c r="BP18" s="780"/>
      <c r="BQ18" s="772"/>
      <c r="BR18" s="779"/>
      <c r="BS18" s="780">
        <f t="shared" si="20"/>
        <v>142844</v>
      </c>
      <c r="BT18" s="772">
        <f t="shared" si="1"/>
        <v>96470</v>
      </c>
      <c r="BU18" s="779">
        <f t="shared" si="1"/>
        <v>46374</v>
      </c>
      <c r="BV18" s="780"/>
      <c r="BW18" s="772"/>
      <c r="BX18" s="1551"/>
      <c r="BY18" s="771">
        <f t="shared" si="22"/>
        <v>142844</v>
      </c>
      <c r="BZ18" s="772">
        <f t="shared" si="2"/>
        <v>96470</v>
      </c>
      <c r="CA18" s="779">
        <f t="shared" si="2"/>
        <v>46374</v>
      </c>
    </row>
    <row r="19" spans="1:79" ht="17.25" x14ac:dyDescent="0.35">
      <c r="A19" s="1571" t="s">
        <v>375</v>
      </c>
      <c r="B19" s="776"/>
      <c r="C19" s="777"/>
      <c r="D19" s="778"/>
      <c r="E19" s="780"/>
      <c r="F19" s="772"/>
      <c r="G19" s="779"/>
      <c r="H19" s="780"/>
      <c r="I19" s="772"/>
      <c r="J19" s="754"/>
      <c r="K19" s="780">
        <v>15227</v>
      </c>
      <c r="L19" s="772">
        <v>10235</v>
      </c>
      <c r="M19" s="766">
        <f t="shared" si="0"/>
        <v>4992</v>
      </c>
      <c r="N19" s="780"/>
      <c r="O19" s="772"/>
      <c r="P19" s="779"/>
      <c r="Q19" s="780">
        <v>12673</v>
      </c>
      <c r="R19" s="772">
        <v>11696</v>
      </c>
      <c r="S19" s="754">
        <f t="shared" si="5"/>
        <v>977</v>
      </c>
      <c r="T19" s="771"/>
      <c r="U19" s="772"/>
      <c r="V19" s="779"/>
      <c r="W19" s="780"/>
      <c r="X19" s="772"/>
      <c r="Y19" s="779"/>
      <c r="Z19" s="780"/>
      <c r="AA19" s="772"/>
      <c r="AB19" s="779"/>
      <c r="AC19" s="780"/>
      <c r="AD19" s="772"/>
      <c r="AE19" s="779"/>
      <c r="AF19" s="780"/>
      <c r="AG19" s="772"/>
      <c r="AH19" s="779"/>
      <c r="AI19" s="780">
        <v>1105358</v>
      </c>
      <c r="AJ19" s="772">
        <v>347593</v>
      </c>
      <c r="AK19" s="754">
        <f t="shared" si="11"/>
        <v>757765</v>
      </c>
      <c r="AL19" s="1555"/>
      <c r="AM19" s="757"/>
      <c r="AN19" s="758"/>
      <c r="AO19" s="780"/>
      <c r="AP19" s="772"/>
      <c r="AQ19" s="779"/>
      <c r="AR19" s="1556"/>
      <c r="AS19" s="782"/>
      <c r="AT19" s="783"/>
      <c r="AU19" s="780"/>
      <c r="AV19" s="772"/>
      <c r="AW19" s="779"/>
      <c r="AX19" s="780"/>
      <c r="AY19" s="772"/>
      <c r="AZ19" s="779"/>
      <c r="BA19" s="780"/>
      <c r="BB19" s="772"/>
      <c r="BC19" s="779"/>
      <c r="BD19" s="1548"/>
      <c r="BE19" s="760"/>
      <c r="BF19" s="775"/>
      <c r="BG19" s="1552"/>
      <c r="BH19" s="1553"/>
      <c r="BI19" s="1581"/>
      <c r="BJ19" s="1550"/>
      <c r="BK19" s="768"/>
      <c r="BL19" s="1551"/>
      <c r="BM19" s="1550"/>
      <c r="BN19" s="768"/>
      <c r="BO19" s="1551"/>
      <c r="BP19" s="780"/>
      <c r="BQ19" s="772"/>
      <c r="BR19" s="779"/>
      <c r="BS19" s="780">
        <f t="shared" si="20"/>
        <v>1133258</v>
      </c>
      <c r="BT19" s="772">
        <f t="shared" si="1"/>
        <v>369524</v>
      </c>
      <c r="BU19" s="779">
        <f t="shared" si="1"/>
        <v>763734</v>
      </c>
      <c r="BV19" s="780">
        <f>144611+26057+3490+675754</f>
        <v>849912</v>
      </c>
      <c r="BW19" s="772">
        <f>122736+25627+2888+475517</f>
        <v>626768</v>
      </c>
      <c r="BX19" s="1551">
        <f t="shared" si="21"/>
        <v>223144</v>
      </c>
      <c r="BY19" s="771">
        <f t="shared" si="22"/>
        <v>1983170</v>
      </c>
      <c r="BZ19" s="772">
        <f t="shared" si="2"/>
        <v>996292</v>
      </c>
      <c r="CA19" s="779">
        <f t="shared" si="2"/>
        <v>986878</v>
      </c>
    </row>
    <row r="20" spans="1:79" ht="17.25" x14ac:dyDescent="0.35">
      <c r="A20" s="1571" t="s">
        <v>83</v>
      </c>
      <c r="B20" s="776"/>
      <c r="C20" s="777"/>
      <c r="D20" s="778"/>
      <c r="E20" s="780"/>
      <c r="F20" s="772"/>
      <c r="G20" s="779"/>
      <c r="H20" s="780"/>
      <c r="I20" s="772"/>
      <c r="J20" s="754"/>
      <c r="K20" s="780"/>
      <c r="L20" s="772"/>
      <c r="M20" s="766"/>
      <c r="N20" s="780"/>
      <c r="O20" s="772"/>
      <c r="P20" s="779"/>
      <c r="Q20" s="780"/>
      <c r="R20" s="772"/>
      <c r="S20" s="754"/>
      <c r="T20" s="771"/>
      <c r="U20" s="772"/>
      <c r="V20" s="779"/>
      <c r="W20" s="780"/>
      <c r="X20" s="772"/>
      <c r="Y20" s="779"/>
      <c r="Z20" s="780"/>
      <c r="AA20" s="772"/>
      <c r="AB20" s="779"/>
      <c r="AC20" s="780"/>
      <c r="AD20" s="772"/>
      <c r="AE20" s="779"/>
      <c r="AF20" s="780"/>
      <c r="AG20" s="772"/>
      <c r="AH20" s="779"/>
      <c r="AI20" s="780"/>
      <c r="AJ20" s="772"/>
      <c r="AK20" s="754"/>
      <c r="AL20" s="1555"/>
      <c r="AM20" s="757"/>
      <c r="AN20" s="758"/>
      <c r="AO20" s="780"/>
      <c r="AP20" s="772"/>
      <c r="AQ20" s="779"/>
      <c r="AR20" s="1556"/>
      <c r="AS20" s="782"/>
      <c r="AT20" s="783"/>
      <c r="AU20" s="780"/>
      <c r="AV20" s="772"/>
      <c r="AW20" s="779"/>
      <c r="AX20" s="780"/>
      <c r="AY20" s="772"/>
      <c r="AZ20" s="779"/>
      <c r="BA20" s="780"/>
      <c r="BB20" s="772"/>
      <c r="BC20" s="779"/>
      <c r="BD20" s="1548"/>
      <c r="BE20" s="760"/>
      <c r="BF20" s="775"/>
      <c r="BG20" s="1552"/>
      <c r="BH20" s="1553"/>
      <c r="BI20" s="1581"/>
      <c r="BJ20" s="1550"/>
      <c r="BK20" s="768"/>
      <c r="BL20" s="1551"/>
      <c r="BM20" s="1550"/>
      <c r="BN20" s="768"/>
      <c r="BO20" s="1551"/>
      <c r="BP20" s="780"/>
      <c r="BQ20" s="772"/>
      <c r="BR20" s="779"/>
      <c r="BS20" s="780">
        <f t="shared" si="20"/>
        <v>0</v>
      </c>
      <c r="BT20" s="772">
        <f t="shared" si="1"/>
        <v>0</v>
      </c>
      <c r="BU20" s="779">
        <f t="shared" si="1"/>
        <v>0</v>
      </c>
      <c r="BV20" s="780">
        <f>5557+529241+650+1398586+18349</f>
        <v>1952383</v>
      </c>
      <c r="BW20" s="772">
        <f>5390+358037+539+1258458+16141</f>
        <v>1638565</v>
      </c>
      <c r="BX20" s="1551">
        <f t="shared" si="21"/>
        <v>313818</v>
      </c>
      <c r="BY20" s="771">
        <f t="shared" si="22"/>
        <v>1952383</v>
      </c>
      <c r="BZ20" s="772">
        <f t="shared" si="2"/>
        <v>1638565</v>
      </c>
      <c r="CA20" s="779">
        <f t="shared" si="2"/>
        <v>313818</v>
      </c>
    </row>
    <row r="21" spans="1:79" ht="17.25" x14ac:dyDescent="0.35">
      <c r="A21" s="1572" t="s">
        <v>62</v>
      </c>
      <c r="B21" s="749">
        <v>3628883</v>
      </c>
      <c r="C21" s="750">
        <f>SUM(C5:C16)</f>
        <v>2913106</v>
      </c>
      <c r="D21" s="751">
        <f>SUM(D5:D16)</f>
        <v>715777</v>
      </c>
      <c r="E21" s="1568">
        <f t="shared" ref="E21:J21" si="24">SUM(E5:E16)</f>
        <v>1116805</v>
      </c>
      <c r="F21" s="750">
        <f t="shared" si="24"/>
        <v>970497</v>
      </c>
      <c r="G21" s="751">
        <f t="shared" si="24"/>
        <v>146307</v>
      </c>
      <c r="H21" s="1568">
        <f t="shared" si="24"/>
        <v>1497776</v>
      </c>
      <c r="I21" s="750">
        <f t="shared" si="24"/>
        <v>1402510</v>
      </c>
      <c r="J21" s="751">
        <f t="shared" si="24"/>
        <v>95266</v>
      </c>
      <c r="K21" s="1568">
        <f>SUM(K5:K19)</f>
        <v>4050301</v>
      </c>
      <c r="L21" s="750">
        <f>SUM(L5:L19)</f>
        <v>1793601</v>
      </c>
      <c r="M21" s="1577">
        <f>SUM(M5:M19)</f>
        <v>2256700</v>
      </c>
      <c r="N21" s="1575">
        <f>SUM(N5:N19)</f>
        <v>978774</v>
      </c>
      <c r="O21" s="1557">
        <f t="shared" ref="O21:P21" si="25">SUM(O5:O19)</f>
        <v>740567</v>
      </c>
      <c r="P21" s="1577">
        <f t="shared" si="25"/>
        <v>238207</v>
      </c>
      <c r="Q21" s="755">
        <f>SUM(Q5:Q19)</f>
        <v>1357155</v>
      </c>
      <c r="R21" s="753">
        <f t="shared" ref="R21:BF21" si="26">SUM(R5:R19)</f>
        <v>1276381</v>
      </c>
      <c r="S21" s="754">
        <f t="shared" si="26"/>
        <v>80774</v>
      </c>
      <c r="T21" s="752">
        <f t="shared" si="26"/>
        <v>1174083</v>
      </c>
      <c r="U21" s="753">
        <f t="shared" si="26"/>
        <v>677474</v>
      </c>
      <c r="V21" s="754">
        <f t="shared" si="26"/>
        <v>496609</v>
      </c>
      <c r="W21" s="755">
        <f t="shared" si="26"/>
        <v>1450428</v>
      </c>
      <c r="X21" s="753">
        <f t="shared" si="26"/>
        <v>673179</v>
      </c>
      <c r="Y21" s="754">
        <f t="shared" si="26"/>
        <v>777249</v>
      </c>
      <c r="Z21" s="755">
        <f t="shared" si="26"/>
        <v>1745423</v>
      </c>
      <c r="AA21" s="753">
        <f t="shared" si="26"/>
        <v>1372447</v>
      </c>
      <c r="AB21" s="754">
        <f t="shared" si="26"/>
        <v>372976</v>
      </c>
      <c r="AC21" s="755">
        <f t="shared" si="26"/>
        <v>1104560</v>
      </c>
      <c r="AD21" s="753">
        <f t="shared" si="26"/>
        <v>644286</v>
      </c>
      <c r="AE21" s="754">
        <f t="shared" si="26"/>
        <v>460274</v>
      </c>
      <c r="AF21" s="755">
        <f t="shared" si="26"/>
        <v>7270894</v>
      </c>
      <c r="AG21" s="753">
        <f t="shared" si="26"/>
        <v>4004287</v>
      </c>
      <c r="AH21" s="754">
        <f t="shared" si="26"/>
        <v>3266690</v>
      </c>
      <c r="AI21" s="755">
        <f t="shared" si="26"/>
        <v>8219455</v>
      </c>
      <c r="AJ21" s="753">
        <f t="shared" si="26"/>
        <v>3673445</v>
      </c>
      <c r="AK21" s="754">
        <f t="shared" si="26"/>
        <v>4546010</v>
      </c>
      <c r="AL21" s="755">
        <f t="shared" si="26"/>
        <v>2136523</v>
      </c>
      <c r="AM21" s="753">
        <f t="shared" si="26"/>
        <v>751203</v>
      </c>
      <c r="AN21" s="754">
        <f t="shared" si="26"/>
        <v>1385320</v>
      </c>
      <c r="AO21" s="755">
        <f t="shared" si="26"/>
        <v>1093783</v>
      </c>
      <c r="AP21" s="753">
        <f t="shared" si="26"/>
        <v>922106</v>
      </c>
      <c r="AQ21" s="754">
        <f t="shared" si="26"/>
        <v>171677</v>
      </c>
      <c r="AR21" s="755">
        <f t="shared" si="26"/>
        <v>3194347</v>
      </c>
      <c r="AS21" s="753">
        <f t="shared" si="26"/>
        <v>2483536</v>
      </c>
      <c r="AT21" s="754">
        <f t="shared" si="26"/>
        <v>710811</v>
      </c>
      <c r="AU21" s="755">
        <f t="shared" si="26"/>
        <v>7178230</v>
      </c>
      <c r="AV21" s="753">
        <f t="shared" si="26"/>
        <v>5743689</v>
      </c>
      <c r="AW21" s="754">
        <f t="shared" si="26"/>
        <v>1434541</v>
      </c>
      <c r="AX21" s="755">
        <f t="shared" si="26"/>
        <v>2549361</v>
      </c>
      <c r="AY21" s="753">
        <f t="shared" si="26"/>
        <v>1838409</v>
      </c>
      <c r="AZ21" s="754">
        <f t="shared" si="26"/>
        <v>710952</v>
      </c>
      <c r="BA21" s="755">
        <f t="shared" si="26"/>
        <v>1450789</v>
      </c>
      <c r="BB21" s="753">
        <f t="shared" si="26"/>
        <v>1202054</v>
      </c>
      <c r="BC21" s="754">
        <f t="shared" si="26"/>
        <v>248735</v>
      </c>
      <c r="BD21" s="755">
        <f t="shared" si="26"/>
        <v>0</v>
      </c>
      <c r="BE21" s="753">
        <f t="shared" si="26"/>
        <v>0</v>
      </c>
      <c r="BF21" s="754">
        <f t="shared" si="26"/>
        <v>0</v>
      </c>
      <c r="BG21" s="1558">
        <v>9423702</v>
      </c>
      <c r="BH21" s="1559">
        <v>4063522</v>
      </c>
      <c r="BI21" s="1583">
        <v>5360180</v>
      </c>
      <c r="BJ21" s="1580">
        <f t="shared" ref="BJ21:BR21" si="27">SUM(BJ5:BJ19)</f>
        <v>1037854</v>
      </c>
      <c r="BK21" s="765">
        <f t="shared" si="27"/>
        <v>506940</v>
      </c>
      <c r="BL21" s="766">
        <f t="shared" si="27"/>
        <v>530914</v>
      </c>
      <c r="BM21" s="1580">
        <f t="shared" si="27"/>
        <v>1132531</v>
      </c>
      <c r="BN21" s="765">
        <f t="shared" si="27"/>
        <v>970730</v>
      </c>
      <c r="BO21" s="766">
        <f t="shared" si="27"/>
        <v>161801</v>
      </c>
      <c r="BP21" s="1580">
        <f t="shared" si="27"/>
        <v>5033830</v>
      </c>
      <c r="BQ21" s="765">
        <f t="shared" si="27"/>
        <v>3172271</v>
      </c>
      <c r="BR21" s="766">
        <f t="shared" si="27"/>
        <v>1861559</v>
      </c>
      <c r="BS21" s="780">
        <f t="shared" si="20"/>
        <v>67825487</v>
      </c>
      <c r="BT21" s="772">
        <f t="shared" si="1"/>
        <v>41796240</v>
      </c>
      <c r="BU21" s="779">
        <f t="shared" si="1"/>
        <v>26029329</v>
      </c>
      <c r="BV21" s="1550">
        <f>SUM(BV6:BV20)</f>
        <v>53271348</v>
      </c>
      <c r="BW21" s="768">
        <f t="shared" ref="BW21:BX21" si="28">SUM(BW6:BW20)</f>
        <v>27961603</v>
      </c>
      <c r="BX21" s="1551">
        <f t="shared" si="28"/>
        <v>25309745</v>
      </c>
      <c r="BY21" s="771">
        <f t="shared" si="22"/>
        <v>121096835</v>
      </c>
      <c r="BZ21" s="772">
        <f t="shared" si="2"/>
        <v>69757843</v>
      </c>
      <c r="CA21" s="779">
        <f t="shared" si="2"/>
        <v>51339074</v>
      </c>
    </row>
    <row r="22" spans="1:79" ht="17.25" x14ac:dyDescent="0.35">
      <c r="A22" s="1570" t="s">
        <v>376</v>
      </c>
      <c r="B22" s="1560"/>
      <c r="C22" s="774"/>
      <c r="D22" s="775">
        <v>71707</v>
      </c>
      <c r="E22" s="1561">
        <v>105848</v>
      </c>
      <c r="F22" s="774"/>
      <c r="G22" s="775">
        <v>105848</v>
      </c>
      <c r="H22" s="1561"/>
      <c r="I22" s="774"/>
      <c r="J22" s="775">
        <v>22427</v>
      </c>
      <c r="K22" s="1561">
        <v>202664</v>
      </c>
      <c r="L22" s="774"/>
      <c r="M22" s="766">
        <f t="shared" si="0"/>
        <v>202664</v>
      </c>
      <c r="N22" s="1561"/>
      <c r="O22" s="774"/>
      <c r="P22" s="775">
        <v>38686</v>
      </c>
      <c r="Q22" s="1561">
        <v>16880</v>
      </c>
      <c r="R22" s="774"/>
      <c r="S22" s="775">
        <v>16880</v>
      </c>
      <c r="T22" s="1560"/>
      <c r="U22" s="774"/>
      <c r="V22" s="775">
        <v>30677</v>
      </c>
      <c r="W22" s="1561">
        <v>177226</v>
      </c>
      <c r="X22" s="774"/>
      <c r="Y22" s="775">
        <v>177226</v>
      </c>
      <c r="Z22" s="1561"/>
      <c r="AA22" s="774"/>
      <c r="AB22" s="775">
        <v>24332</v>
      </c>
      <c r="AC22" s="1561"/>
      <c r="AD22" s="774"/>
      <c r="AE22" s="775">
        <v>56257</v>
      </c>
      <c r="AF22" s="1561">
        <v>84445</v>
      </c>
      <c r="AG22" s="774"/>
      <c r="AH22" s="775"/>
      <c r="AI22" s="1561"/>
      <c r="AJ22" s="774"/>
      <c r="AK22" s="775">
        <v>138976</v>
      </c>
      <c r="AL22" s="1561">
        <v>2768</v>
      </c>
      <c r="AM22" s="774"/>
      <c r="AN22" s="775">
        <v>2768</v>
      </c>
      <c r="AO22" s="1561">
        <v>24886</v>
      </c>
      <c r="AP22" s="774"/>
      <c r="AQ22" s="775">
        <f>AO22</f>
        <v>24886</v>
      </c>
      <c r="AR22" s="1561"/>
      <c r="AS22" s="774"/>
      <c r="AT22" s="775">
        <v>66837</v>
      </c>
      <c r="AU22" s="1561"/>
      <c r="AV22" s="774"/>
      <c r="AW22" s="775">
        <v>233327</v>
      </c>
      <c r="AX22" s="1561"/>
      <c r="AY22" s="774"/>
      <c r="AZ22" s="775">
        <v>110765</v>
      </c>
      <c r="BA22" s="1561"/>
      <c r="BB22" s="774"/>
      <c r="BC22" s="775">
        <v>63990</v>
      </c>
      <c r="BD22" s="1561"/>
      <c r="BE22" s="774"/>
      <c r="BF22" s="775"/>
      <c r="BG22" s="1552">
        <v>629751</v>
      </c>
      <c r="BH22" s="1562"/>
      <c r="BI22" s="1581">
        <v>629751</v>
      </c>
      <c r="BJ22" s="1561">
        <v>48000</v>
      </c>
      <c r="BK22" s="774"/>
      <c r="BL22" s="775">
        <f>BJ22</f>
        <v>48000</v>
      </c>
      <c r="BM22" s="1561">
        <v>2570</v>
      </c>
      <c r="BN22" s="774"/>
      <c r="BO22" s="775">
        <f>BM22</f>
        <v>2570</v>
      </c>
      <c r="BP22" s="1561"/>
      <c r="BQ22" s="774"/>
      <c r="BR22" s="775">
        <v>46509</v>
      </c>
      <c r="BS22" s="780">
        <f t="shared" si="20"/>
        <v>1295038</v>
      </c>
      <c r="BT22" s="772">
        <f t="shared" si="20"/>
        <v>0</v>
      </c>
      <c r="BU22" s="779">
        <f t="shared" si="20"/>
        <v>2115083</v>
      </c>
      <c r="BV22" s="1561">
        <v>2229293</v>
      </c>
      <c r="BW22" s="774"/>
      <c r="BX22" s="775">
        <f>BV22</f>
        <v>2229293</v>
      </c>
      <c r="BY22" s="771">
        <f t="shared" si="22"/>
        <v>3524331</v>
      </c>
      <c r="BZ22" s="772">
        <f t="shared" si="22"/>
        <v>0</v>
      </c>
      <c r="CA22" s="779">
        <f t="shared" si="22"/>
        <v>4344376</v>
      </c>
    </row>
    <row r="23" spans="1:79" ht="17.25" x14ac:dyDescent="0.35">
      <c r="A23" s="1573" t="s">
        <v>3</v>
      </c>
      <c r="B23" s="1560">
        <f>B21+B22</f>
        <v>3628883</v>
      </c>
      <c r="C23" s="774">
        <f t="shared" ref="C23:G23" si="29">C21+C22</f>
        <v>2913106</v>
      </c>
      <c r="D23" s="775">
        <f t="shared" si="29"/>
        <v>787484</v>
      </c>
      <c r="E23" s="1561">
        <f t="shared" si="29"/>
        <v>1222653</v>
      </c>
      <c r="F23" s="774">
        <f t="shared" si="29"/>
        <v>970497</v>
      </c>
      <c r="G23" s="775">
        <f t="shared" si="29"/>
        <v>252155</v>
      </c>
      <c r="H23" s="1561">
        <f>H21+H22</f>
        <v>1497776</v>
      </c>
      <c r="I23" s="774">
        <f t="shared" ref="I23:BF23" si="30">I21+I22</f>
        <v>1402510</v>
      </c>
      <c r="J23" s="775">
        <f t="shared" si="30"/>
        <v>117693</v>
      </c>
      <c r="K23" s="1561">
        <f t="shared" si="30"/>
        <v>4252965</v>
      </c>
      <c r="L23" s="774">
        <f t="shared" si="30"/>
        <v>1793601</v>
      </c>
      <c r="M23" s="775">
        <f t="shared" si="30"/>
        <v>2459364</v>
      </c>
      <c r="N23" s="1561">
        <f t="shared" si="30"/>
        <v>978774</v>
      </c>
      <c r="O23" s="774">
        <f t="shared" si="30"/>
        <v>740567</v>
      </c>
      <c r="P23" s="775">
        <f t="shared" si="30"/>
        <v>276893</v>
      </c>
      <c r="Q23" s="1561">
        <f t="shared" si="30"/>
        <v>1374035</v>
      </c>
      <c r="R23" s="774">
        <f t="shared" si="30"/>
        <v>1276381</v>
      </c>
      <c r="S23" s="775">
        <f t="shared" si="30"/>
        <v>97654</v>
      </c>
      <c r="T23" s="1560">
        <f t="shared" si="30"/>
        <v>1174083</v>
      </c>
      <c r="U23" s="774">
        <f t="shared" si="30"/>
        <v>677474</v>
      </c>
      <c r="V23" s="775">
        <f t="shared" si="30"/>
        <v>527286</v>
      </c>
      <c r="W23" s="1561">
        <f t="shared" si="30"/>
        <v>1627654</v>
      </c>
      <c r="X23" s="774">
        <f t="shared" si="30"/>
        <v>673179</v>
      </c>
      <c r="Y23" s="775">
        <f t="shared" si="30"/>
        <v>954475</v>
      </c>
      <c r="Z23" s="1561">
        <f t="shared" si="30"/>
        <v>1745423</v>
      </c>
      <c r="AA23" s="774">
        <f t="shared" si="30"/>
        <v>1372447</v>
      </c>
      <c r="AB23" s="775">
        <f t="shared" si="30"/>
        <v>397308</v>
      </c>
      <c r="AC23" s="1561">
        <f t="shared" si="30"/>
        <v>1104560</v>
      </c>
      <c r="AD23" s="774">
        <f t="shared" si="30"/>
        <v>644286</v>
      </c>
      <c r="AE23" s="775">
        <f t="shared" si="30"/>
        <v>516531</v>
      </c>
      <c r="AF23" s="1561">
        <f t="shared" si="30"/>
        <v>7355339</v>
      </c>
      <c r="AG23" s="774">
        <f t="shared" si="30"/>
        <v>4004287</v>
      </c>
      <c r="AH23" s="775">
        <f t="shared" si="30"/>
        <v>3266690</v>
      </c>
      <c r="AI23" s="1561">
        <f t="shared" si="30"/>
        <v>8219455</v>
      </c>
      <c r="AJ23" s="774">
        <f t="shared" si="30"/>
        <v>3673445</v>
      </c>
      <c r="AK23" s="775">
        <f t="shared" si="30"/>
        <v>4684986</v>
      </c>
      <c r="AL23" s="1561">
        <f t="shared" si="30"/>
        <v>2139291</v>
      </c>
      <c r="AM23" s="774">
        <f t="shared" si="30"/>
        <v>751203</v>
      </c>
      <c r="AN23" s="775">
        <f t="shared" si="30"/>
        <v>1388088</v>
      </c>
      <c r="AO23" s="1561">
        <f t="shared" si="30"/>
        <v>1118669</v>
      </c>
      <c r="AP23" s="774">
        <f t="shared" si="30"/>
        <v>922106</v>
      </c>
      <c r="AQ23" s="775">
        <f t="shared" si="30"/>
        <v>196563</v>
      </c>
      <c r="AR23" s="1561">
        <f t="shared" si="30"/>
        <v>3194347</v>
      </c>
      <c r="AS23" s="774">
        <f t="shared" si="30"/>
        <v>2483536</v>
      </c>
      <c r="AT23" s="775">
        <f t="shared" si="30"/>
        <v>777648</v>
      </c>
      <c r="AU23" s="1561">
        <f t="shared" si="30"/>
        <v>7178230</v>
      </c>
      <c r="AV23" s="774">
        <f t="shared" si="30"/>
        <v>5743689</v>
      </c>
      <c r="AW23" s="775">
        <f t="shared" si="30"/>
        <v>1667868</v>
      </c>
      <c r="AX23" s="1561">
        <f t="shared" si="30"/>
        <v>2549361</v>
      </c>
      <c r="AY23" s="774">
        <f t="shared" si="30"/>
        <v>1838409</v>
      </c>
      <c r="AZ23" s="775">
        <f t="shared" si="30"/>
        <v>821717</v>
      </c>
      <c r="BA23" s="1561">
        <f>BA21+BA22</f>
        <v>1450789</v>
      </c>
      <c r="BB23" s="774">
        <f t="shared" si="30"/>
        <v>1202054</v>
      </c>
      <c r="BC23" s="775">
        <f t="shared" si="30"/>
        <v>312725</v>
      </c>
      <c r="BD23" s="1561">
        <f t="shared" si="30"/>
        <v>0</v>
      </c>
      <c r="BE23" s="774">
        <f t="shared" si="30"/>
        <v>0</v>
      </c>
      <c r="BF23" s="775">
        <f t="shared" si="30"/>
        <v>0</v>
      </c>
      <c r="BG23" s="1563">
        <v>10053453</v>
      </c>
      <c r="BH23" s="1564">
        <v>4063522</v>
      </c>
      <c r="BI23" s="1584">
        <v>5989931</v>
      </c>
      <c r="BJ23" s="1561">
        <f t="shared" ref="BJ23" si="31">BJ21+BJ22</f>
        <v>1085854</v>
      </c>
      <c r="BK23" s="774">
        <f>BK21+BK22</f>
        <v>506940</v>
      </c>
      <c r="BL23" s="775">
        <f t="shared" ref="BL23:BR23" si="32">BL21+BL22</f>
        <v>578914</v>
      </c>
      <c r="BM23" s="1561">
        <f t="shared" si="32"/>
        <v>1135101</v>
      </c>
      <c r="BN23" s="774">
        <f t="shared" si="32"/>
        <v>970730</v>
      </c>
      <c r="BO23" s="775">
        <f t="shared" si="32"/>
        <v>164371</v>
      </c>
      <c r="BP23" s="1561">
        <f t="shared" si="32"/>
        <v>5033830</v>
      </c>
      <c r="BQ23" s="774">
        <f t="shared" si="32"/>
        <v>3172271</v>
      </c>
      <c r="BR23" s="775">
        <f t="shared" si="32"/>
        <v>1908068</v>
      </c>
      <c r="BS23" s="780">
        <f t="shared" si="20"/>
        <v>69120525</v>
      </c>
      <c r="BT23" s="772">
        <f t="shared" si="20"/>
        <v>41796240</v>
      </c>
      <c r="BU23" s="779">
        <f t="shared" si="20"/>
        <v>28144412</v>
      </c>
      <c r="BV23" s="1561">
        <f>BV21+BV22</f>
        <v>55500641</v>
      </c>
      <c r="BW23" s="774">
        <f t="shared" ref="BW23:BX23" si="33">BW21+BW22</f>
        <v>27961603</v>
      </c>
      <c r="BX23" s="775">
        <f t="shared" si="33"/>
        <v>27539038</v>
      </c>
      <c r="BY23" s="771">
        <f t="shared" si="22"/>
        <v>124621166</v>
      </c>
      <c r="BZ23" s="772">
        <f t="shared" si="22"/>
        <v>69757843</v>
      </c>
      <c r="CA23" s="779">
        <f t="shared" si="22"/>
        <v>55683450</v>
      </c>
    </row>
    <row r="24" spans="1:79" ht="17.25" x14ac:dyDescent="0.35">
      <c r="A24" s="1572" t="s">
        <v>377</v>
      </c>
      <c r="B24" s="1560">
        <v>3405126</v>
      </c>
      <c r="C24" s="774">
        <v>2729601</v>
      </c>
      <c r="D24" s="775">
        <v>768060</v>
      </c>
      <c r="E24" s="1561">
        <v>1046047</v>
      </c>
      <c r="F24" s="774">
        <v>887062</v>
      </c>
      <c r="G24" s="775"/>
      <c r="H24" s="1561">
        <v>1495129</v>
      </c>
      <c r="I24" s="774">
        <v>1380787</v>
      </c>
      <c r="J24" s="775">
        <v>129215</v>
      </c>
      <c r="K24" s="1561"/>
      <c r="L24" s="774"/>
      <c r="M24" s="1578"/>
      <c r="N24" s="1561">
        <v>834179</v>
      </c>
      <c r="O24" s="774">
        <v>655555</v>
      </c>
      <c r="P24" s="775"/>
      <c r="Q24" s="1561">
        <v>1309397</v>
      </c>
      <c r="R24" s="774">
        <v>1226889</v>
      </c>
      <c r="S24" s="775">
        <v>82508</v>
      </c>
      <c r="T24" s="1560">
        <v>1064823</v>
      </c>
      <c r="U24" s="774">
        <v>647884</v>
      </c>
      <c r="V24" s="775">
        <v>643442</v>
      </c>
      <c r="W24" s="1561">
        <v>1376309</v>
      </c>
      <c r="X24" s="774">
        <v>516858</v>
      </c>
      <c r="Y24" s="775"/>
      <c r="Z24" s="1561">
        <v>1584079</v>
      </c>
      <c r="AA24" s="774">
        <v>1246539</v>
      </c>
      <c r="AB24" s="775">
        <v>396493</v>
      </c>
      <c r="AC24" s="1561">
        <v>1839000</v>
      </c>
      <c r="AD24" s="774">
        <v>1392485</v>
      </c>
      <c r="AE24" s="775">
        <v>480593</v>
      </c>
      <c r="AF24" s="1561">
        <v>7146329</v>
      </c>
      <c r="AG24" s="774">
        <v>3702856</v>
      </c>
      <c r="AH24" s="775">
        <v>3443473</v>
      </c>
      <c r="AI24" s="1561">
        <v>7161802</v>
      </c>
      <c r="AJ24" s="774">
        <v>3285374</v>
      </c>
      <c r="AK24" s="775"/>
      <c r="AL24" s="1561">
        <v>2085401</v>
      </c>
      <c r="AM24" s="774">
        <v>652976</v>
      </c>
      <c r="AN24" s="775">
        <v>1432425</v>
      </c>
      <c r="AO24" s="1561">
        <v>963717</v>
      </c>
      <c r="AP24" s="774">
        <v>790150</v>
      </c>
      <c r="AQ24" s="775">
        <v>173567</v>
      </c>
      <c r="AR24" s="1561">
        <v>2750285</v>
      </c>
      <c r="AS24" s="774">
        <v>2212079</v>
      </c>
      <c r="AT24" s="775">
        <v>604404</v>
      </c>
      <c r="AU24" s="1561">
        <v>6817142</v>
      </c>
      <c r="AV24" s="774">
        <v>5435496</v>
      </c>
      <c r="AW24" s="775">
        <v>1581831</v>
      </c>
      <c r="AX24" s="1561">
        <v>2234169</v>
      </c>
      <c r="AY24" s="774">
        <v>1608136</v>
      </c>
      <c r="AZ24" s="775">
        <v>748094</v>
      </c>
      <c r="BA24" s="1561">
        <v>1373383</v>
      </c>
      <c r="BB24" s="774">
        <v>1146431</v>
      </c>
      <c r="BC24" s="775">
        <v>282070</v>
      </c>
      <c r="BD24" s="1561"/>
      <c r="BE24" s="774"/>
      <c r="BF24" s="775"/>
      <c r="BG24" s="1558">
        <v>8912339</v>
      </c>
      <c r="BH24" s="1559">
        <v>3362929</v>
      </c>
      <c r="BI24" s="1583">
        <v>5549410</v>
      </c>
      <c r="BJ24" s="1561">
        <v>855034</v>
      </c>
      <c r="BK24" s="774">
        <v>445258</v>
      </c>
      <c r="BL24" s="775"/>
      <c r="BM24" s="1561">
        <v>1050413</v>
      </c>
      <c r="BN24" s="774">
        <v>868753</v>
      </c>
      <c r="BO24" s="775">
        <v>186941</v>
      </c>
      <c r="BP24" s="1561">
        <v>4376612</v>
      </c>
      <c r="BQ24" s="774">
        <v>2738090</v>
      </c>
      <c r="BR24" s="775">
        <v>1707474</v>
      </c>
      <c r="BS24" s="780">
        <f t="shared" si="20"/>
        <v>59680715</v>
      </c>
      <c r="BT24" s="772">
        <f t="shared" si="20"/>
        <v>36932188</v>
      </c>
      <c r="BU24" s="779">
        <f t="shared" si="20"/>
        <v>18210000</v>
      </c>
      <c r="BV24" s="1561"/>
      <c r="BW24" s="774"/>
      <c r="BX24" s="775"/>
      <c r="BY24" s="771">
        <f t="shared" si="22"/>
        <v>59680715</v>
      </c>
      <c r="BZ24" s="772">
        <f t="shared" si="22"/>
        <v>36932188</v>
      </c>
      <c r="CA24" s="779">
        <f t="shared" si="22"/>
        <v>18210000</v>
      </c>
    </row>
    <row r="25" spans="1:79" ht="17.25" thickBot="1" x14ac:dyDescent="0.35">
      <c r="A25" s="1574" t="s">
        <v>378</v>
      </c>
      <c r="B25" s="1565"/>
      <c r="C25" s="811"/>
      <c r="D25" s="812"/>
      <c r="E25" s="1566"/>
      <c r="F25" s="811"/>
      <c r="G25" s="812"/>
      <c r="H25" s="1566"/>
      <c r="I25" s="811"/>
      <c r="J25" s="812"/>
      <c r="K25" s="1566"/>
      <c r="L25" s="811"/>
      <c r="M25" s="1579"/>
      <c r="N25" s="1566"/>
      <c r="O25" s="811"/>
      <c r="P25" s="812"/>
      <c r="Q25" s="1566"/>
      <c r="R25" s="811"/>
      <c r="S25" s="812"/>
      <c r="T25" s="1565"/>
      <c r="U25" s="811"/>
      <c r="V25" s="812"/>
      <c r="W25" s="1566"/>
      <c r="X25" s="811"/>
      <c r="Y25" s="812"/>
      <c r="Z25" s="1566"/>
      <c r="AA25" s="811"/>
      <c r="AB25" s="812"/>
      <c r="AC25" s="1566"/>
      <c r="AD25" s="811"/>
      <c r="AE25" s="812"/>
      <c r="AF25" s="1566"/>
      <c r="AG25" s="811"/>
      <c r="AH25" s="812"/>
      <c r="AI25" s="1566"/>
      <c r="AJ25" s="811"/>
      <c r="AK25" s="812"/>
      <c r="AL25" s="1566"/>
      <c r="AM25" s="811"/>
      <c r="AN25" s="812"/>
      <c r="AO25" s="1566"/>
      <c r="AP25" s="811"/>
      <c r="AQ25" s="812"/>
      <c r="AR25" s="1566"/>
      <c r="AS25" s="811"/>
      <c r="AT25" s="812"/>
      <c r="AU25" s="1566"/>
      <c r="AV25" s="811"/>
      <c r="AW25" s="812"/>
      <c r="AX25" s="1566"/>
      <c r="AY25" s="811"/>
      <c r="AZ25" s="812"/>
      <c r="BA25" s="1566"/>
      <c r="BB25" s="811"/>
      <c r="BC25" s="812"/>
      <c r="BD25" s="1566"/>
      <c r="BE25" s="811"/>
      <c r="BF25" s="812"/>
      <c r="BG25" s="1566"/>
      <c r="BH25" s="811"/>
      <c r="BI25" s="812"/>
      <c r="BJ25" s="1566"/>
      <c r="BK25" s="811"/>
      <c r="BL25" s="812"/>
      <c r="BM25" s="1566"/>
      <c r="BN25" s="811"/>
      <c r="BO25" s="812"/>
      <c r="BP25" s="1566"/>
      <c r="BQ25" s="811"/>
      <c r="BR25" s="812"/>
      <c r="BS25" s="1566"/>
      <c r="BT25" s="811"/>
      <c r="BU25" s="812"/>
      <c r="BV25" s="1566"/>
      <c r="BW25" s="811"/>
      <c r="BX25" s="812"/>
      <c r="BY25" s="1565"/>
      <c r="BZ25" s="811"/>
      <c r="CA25" s="812"/>
    </row>
  </sheetData>
  <mergeCells count="28"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A1:BZ1"/>
    <mergeCell ref="A2:BZ2"/>
    <mergeCell ref="B3:D3"/>
    <mergeCell ref="E3:G3"/>
    <mergeCell ref="H3:J3"/>
    <mergeCell ref="K3:M3"/>
    <mergeCell ref="N3:P3"/>
    <mergeCell ref="Q3:S3"/>
    <mergeCell ref="T3:V3"/>
    <mergeCell ref="W3:Y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16"/>
  <sheetViews>
    <sheetView workbookViewId="0">
      <pane xSplit="1" topLeftCell="AN1" activePane="topRight" state="frozen"/>
      <selection pane="topRight" activeCell="BB3" sqref="BB3"/>
    </sheetView>
  </sheetViews>
  <sheetFormatPr defaultRowHeight="14.25" x14ac:dyDescent="0.3"/>
  <cols>
    <col min="1" max="1" width="34.7109375" style="23" customWidth="1"/>
    <col min="2" max="3" width="11.5703125" style="23" customWidth="1"/>
    <col min="4" max="4" width="9.5703125" style="23" bestFit="1" customWidth="1"/>
    <col min="5" max="5" width="9.28515625" style="23" customWidth="1"/>
    <col min="6" max="6" width="9.28515625" style="23" bestFit="1" customWidth="1"/>
    <col min="7" max="7" width="9.28515625" style="23" customWidth="1"/>
    <col min="8" max="8" width="9.28515625" style="23" bestFit="1" customWidth="1"/>
    <col min="9" max="9" width="9.28515625" style="23" customWidth="1"/>
    <col min="10" max="10" width="9.28515625" style="23" bestFit="1" customWidth="1"/>
    <col min="11" max="11" width="9.28515625" style="23" customWidth="1"/>
    <col min="12" max="12" width="9.28515625" style="23" bestFit="1" customWidth="1"/>
    <col min="13" max="13" width="10.42578125" style="23" customWidth="1"/>
    <col min="14" max="15" width="10.140625" style="23" customWidth="1"/>
    <col min="16" max="17" width="11" style="23" customWidth="1"/>
    <col min="18" max="18" width="9.28515625" style="23" bestFit="1" customWidth="1"/>
    <col min="19" max="19" width="9.28515625" style="23" customWidth="1"/>
    <col min="20" max="20" width="9.28515625" style="23" bestFit="1" customWidth="1"/>
    <col min="21" max="21" width="9.28515625" style="23" customWidth="1"/>
    <col min="22" max="22" width="10.7109375" style="23" customWidth="1"/>
    <col min="23" max="23" width="9.28515625" style="23" customWidth="1"/>
    <col min="24" max="25" width="11.7109375" style="23" customWidth="1"/>
    <col min="26" max="26" width="9.28515625" style="23" bestFit="1" customWidth="1"/>
    <col min="27" max="27" width="9.28515625" style="23" customWidth="1"/>
    <col min="28" max="28" width="9.28515625" style="23" bestFit="1" customWidth="1"/>
    <col min="29" max="29" width="9.28515625" style="23" customWidth="1"/>
    <col min="30" max="31" width="12" style="23" customWidth="1"/>
    <col min="32" max="32" width="10" style="23" bestFit="1" customWidth="1"/>
    <col min="33" max="33" width="9.28515625" style="23" customWidth="1"/>
    <col min="34" max="34" width="9.28515625" style="23" bestFit="1" customWidth="1"/>
    <col min="35" max="35" width="9.28515625" style="23" customWidth="1"/>
    <col min="36" max="36" width="9.28515625" style="23" bestFit="1" customWidth="1"/>
    <col min="37" max="37" width="9.28515625" style="23" customWidth="1"/>
    <col min="38" max="39" width="9.140625" style="23"/>
    <col min="40" max="41" width="11.42578125" style="23" customWidth="1"/>
    <col min="42" max="42" width="9.28515625" style="23" bestFit="1" customWidth="1"/>
    <col min="43" max="43" width="9.28515625" style="23" customWidth="1"/>
    <col min="44" max="44" width="9.28515625" style="23" bestFit="1" customWidth="1"/>
    <col min="45" max="45" width="9.28515625" style="23" customWidth="1"/>
    <col min="46" max="46" width="9.28515625" style="23" bestFit="1" customWidth="1"/>
    <col min="47" max="47" width="9.28515625" style="23" customWidth="1"/>
    <col min="48" max="48" width="11" style="23" bestFit="1" customWidth="1"/>
    <col min="49" max="49" width="9.140625" style="23"/>
    <col min="50" max="50" width="11.42578125" style="23" customWidth="1"/>
    <col min="51" max="51" width="11.5703125" style="23" customWidth="1"/>
    <col min="52" max="52" width="12.5703125" style="23" customWidth="1"/>
    <col min="53" max="53" width="10" style="23" customWidth="1"/>
    <col min="54" max="54" width="9.5703125" style="23" bestFit="1" customWidth="1"/>
    <col min="55" max="16384" width="9.140625" style="23"/>
  </cols>
  <sheetData>
    <row r="1" spans="1:53" x14ac:dyDescent="0.3">
      <c r="A1" s="1423" t="s">
        <v>119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  <c r="P1" s="1423"/>
      <c r="Q1" s="1423"/>
      <c r="R1" s="1423"/>
      <c r="S1" s="1423"/>
      <c r="T1" s="1423"/>
      <c r="U1" s="1423"/>
      <c r="V1" s="1423"/>
      <c r="W1" s="1423"/>
      <c r="X1" s="1423"/>
      <c r="Y1" s="1423"/>
      <c r="Z1" s="1423"/>
      <c r="AA1" s="1423"/>
      <c r="AB1" s="1423"/>
      <c r="AC1" s="1423"/>
      <c r="AD1" s="1423"/>
      <c r="AE1" s="1423"/>
      <c r="AF1" s="1423"/>
      <c r="AG1" s="1423"/>
      <c r="AH1" s="1423"/>
      <c r="AI1" s="1423"/>
      <c r="AJ1" s="1423"/>
      <c r="AK1" s="1423"/>
      <c r="AL1" s="1423"/>
      <c r="AM1" s="1423"/>
      <c r="AN1" s="1423"/>
      <c r="AO1" s="1423"/>
      <c r="AP1" s="1423"/>
      <c r="AQ1" s="1423"/>
      <c r="AR1" s="1423"/>
      <c r="AS1" s="1423"/>
      <c r="AT1" s="1423"/>
      <c r="AU1" s="1423"/>
      <c r="AV1" s="1423"/>
      <c r="AW1" s="1423"/>
      <c r="AX1" s="1423"/>
      <c r="AY1" s="1423"/>
      <c r="AZ1" s="1423"/>
      <c r="BA1" s="1423"/>
    </row>
    <row r="2" spans="1:53" ht="15" thickBot="1" x14ac:dyDescent="0.35">
      <c r="A2" s="1409" t="s">
        <v>283</v>
      </c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09"/>
      <c r="AB2" s="1409"/>
      <c r="AC2" s="1409"/>
      <c r="AD2" s="1409"/>
      <c r="AE2" s="1409"/>
      <c r="AF2" s="1409"/>
      <c r="AG2" s="1409"/>
      <c r="AH2" s="1409"/>
      <c r="AI2" s="1409"/>
      <c r="AJ2" s="1409"/>
      <c r="AK2" s="1409"/>
      <c r="AL2" s="1409"/>
      <c r="AM2" s="1409"/>
      <c r="AN2" s="1409"/>
      <c r="AO2" s="1409"/>
      <c r="AP2" s="1409"/>
      <c r="AQ2" s="1409"/>
      <c r="AR2" s="1409"/>
      <c r="AS2" s="1409"/>
      <c r="AT2" s="1409"/>
      <c r="AU2" s="1409"/>
      <c r="AV2" s="1409"/>
      <c r="AW2" s="1409"/>
      <c r="AX2" s="1409"/>
      <c r="AY2" s="1409"/>
      <c r="AZ2" s="1409"/>
      <c r="BA2" s="1409"/>
    </row>
    <row r="3" spans="1:53" ht="51" customHeight="1" thickBot="1" x14ac:dyDescent="0.35">
      <c r="A3" s="1142" t="s">
        <v>120</v>
      </c>
      <c r="B3" s="1367" t="s">
        <v>258</v>
      </c>
      <c r="C3" s="1368"/>
      <c r="D3" s="1354" t="s">
        <v>259</v>
      </c>
      <c r="E3" s="1355"/>
      <c r="F3" s="1354" t="s">
        <v>260</v>
      </c>
      <c r="G3" s="1355"/>
      <c r="H3" s="1354" t="s">
        <v>261</v>
      </c>
      <c r="I3" s="1355"/>
      <c r="J3" s="1354" t="s">
        <v>262</v>
      </c>
      <c r="K3" s="1355"/>
      <c r="L3" s="1354" t="s">
        <v>263</v>
      </c>
      <c r="M3" s="1355"/>
      <c r="N3" s="1354" t="s">
        <v>264</v>
      </c>
      <c r="O3" s="1355"/>
      <c r="P3" s="1354" t="s">
        <v>265</v>
      </c>
      <c r="Q3" s="1355"/>
      <c r="R3" s="1354" t="s">
        <v>266</v>
      </c>
      <c r="S3" s="1355"/>
      <c r="T3" s="1354" t="s">
        <v>267</v>
      </c>
      <c r="U3" s="1355"/>
      <c r="V3" s="1354" t="s">
        <v>268</v>
      </c>
      <c r="W3" s="1355"/>
      <c r="X3" s="1354" t="s">
        <v>269</v>
      </c>
      <c r="Y3" s="1355"/>
      <c r="Z3" s="1354" t="s">
        <v>270</v>
      </c>
      <c r="AA3" s="1355"/>
      <c r="AB3" s="1354" t="s">
        <v>271</v>
      </c>
      <c r="AC3" s="1355"/>
      <c r="AD3" s="1363" t="s">
        <v>272</v>
      </c>
      <c r="AE3" s="1364"/>
      <c r="AF3" s="1354" t="s">
        <v>273</v>
      </c>
      <c r="AG3" s="1355"/>
      <c r="AH3" s="1354" t="s">
        <v>274</v>
      </c>
      <c r="AI3" s="1355"/>
      <c r="AJ3" s="1354" t="s">
        <v>275</v>
      </c>
      <c r="AK3" s="1355"/>
      <c r="AL3" s="1363" t="s">
        <v>276</v>
      </c>
      <c r="AM3" s="1364"/>
      <c r="AN3" s="1354" t="s">
        <v>277</v>
      </c>
      <c r="AO3" s="1355"/>
      <c r="AP3" s="1354" t="s">
        <v>278</v>
      </c>
      <c r="AQ3" s="1355"/>
      <c r="AR3" s="1354" t="s">
        <v>279</v>
      </c>
      <c r="AS3" s="1355"/>
      <c r="AT3" s="1354" t="s">
        <v>280</v>
      </c>
      <c r="AU3" s="1355"/>
      <c r="AV3" s="1421" t="s">
        <v>2</v>
      </c>
      <c r="AW3" s="1422"/>
      <c r="AX3" s="1361" t="s">
        <v>281</v>
      </c>
      <c r="AY3" s="1362"/>
      <c r="AZ3" s="1419" t="s">
        <v>3</v>
      </c>
      <c r="BA3" s="1420"/>
    </row>
    <row r="4" spans="1:53" s="677" customFormat="1" ht="41.25" thickBot="1" x14ac:dyDescent="0.3">
      <c r="A4" s="673"/>
      <c r="B4" s="674" t="s">
        <v>121</v>
      </c>
      <c r="C4" s="675" t="s">
        <v>122</v>
      </c>
      <c r="D4" s="676" t="s">
        <v>121</v>
      </c>
      <c r="E4" s="675" t="s">
        <v>122</v>
      </c>
      <c r="F4" s="676" t="s">
        <v>121</v>
      </c>
      <c r="G4" s="675" t="s">
        <v>122</v>
      </c>
      <c r="H4" s="676" t="s">
        <v>121</v>
      </c>
      <c r="I4" s="676" t="s">
        <v>122</v>
      </c>
      <c r="J4" s="676" t="s">
        <v>121</v>
      </c>
      <c r="K4" s="675" t="s">
        <v>122</v>
      </c>
      <c r="L4" s="676" t="s">
        <v>121</v>
      </c>
      <c r="M4" s="675" t="s">
        <v>122</v>
      </c>
      <c r="N4" s="676" t="s">
        <v>121</v>
      </c>
      <c r="O4" s="675" t="s">
        <v>122</v>
      </c>
      <c r="P4" s="676" t="s">
        <v>121</v>
      </c>
      <c r="Q4" s="675" t="s">
        <v>122</v>
      </c>
      <c r="R4" s="676" t="s">
        <v>121</v>
      </c>
      <c r="S4" s="675" t="s">
        <v>122</v>
      </c>
      <c r="T4" s="676" t="s">
        <v>121</v>
      </c>
      <c r="U4" s="675" t="s">
        <v>122</v>
      </c>
      <c r="V4" s="676" t="s">
        <v>121</v>
      </c>
      <c r="W4" s="675" t="s">
        <v>122</v>
      </c>
      <c r="X4" s="676" t="s">
        <v>121</v>
      </c>
      <c r="Y4" s="675" t="s">
        <v>122</v>
      </c>
      <c r="Z4" s="676" t="s">
        <v>121</v>
      </c>
      <c r="AA4" s="675" t="s">
        <v>122</v>
      </c>
      <c r="AB4" s="676" t="s">
        <v>121</v>
      </c>
      <c r="AC4" s="675" t="s">
        <v>122</v>
      </c>
      <c r="AD4" s="676" t="s">
        <v>121</v>
      </c>
      <c r="AE4" s="675" t="s">
        <v>122</v>
      </c>
      <c r="AF4" s="676" t="s">
        <v>121</v>
      </c>
      <c r="AG4" s="675" t="s">
        <v>122</v>
      </c>
      <c r="AH4" s="676" t="s">
        <v>121</v>
      </c>
      <c r="AI4" s="675" t="s">
        <v>122</v>
      </c>
      <c r="AJ4" s="676" t="s">
        <v>121</v>
      </c>
      <c r="AK4" s="675" t="s">
        <v>122</v>
      </c>
      <c r="AL4" s="676" t="s">
        <v>121</v>
      </c>
      <c r="AM4" s="675" t="s">
        <v>122</v>
      </c>
      <c r="AN4" s="676" t="s">
        <v>121</v>
      </c>
      <c r="AO4" s="675" t="s">
        <v>122</v>
      </c>
      <c r="AP4" s="676" t="s">
        <v>121</v>
      </c>
      <c r="AQ4" s="675" t="s">
        <v>122</v>
      </c>
      <c r="AR4" s="676" t="s">
        <v>121</v>
      </c>
      <c r="AS4" s="675" t="s">
        <v>122</v>
      </c>
      <c r="AT4" s="676" t="s">
        <v>121</v>
      </c>
      <c r="AU4" s="675" t="s">
        <v>122</v>
      </c>
      <c r="AV4" s="676" t="s">
        <v>121</v>
      </c>
      <c r="AW4" s="675" t="s">
        <v>122</v>
      </c>
      <c r="AX4" s="676" t="s">
        <v>121</v>
      </c>
      <c r="AY4" s="675" t="s">
        <v>122</v>
      </c>
      <c r="AZ4" s="676" t="s">
        <v>121</v>
      </c>
      <c r="BA4" s="675" t="s">
        <v>122</v>
      </c>
    </row>
    <row r="5" spans="1:53" s="75" customFormat="1" x14ac:dyDescent="0.3">
      <c r="A5" s="678" t="s">
        <v>123</v>
      </c>
      <c r="B5" s="135">
        <v>3753141</v>
      </c>
      <c r="C5" s="137">
        <v>3554370</v>
      </c>
      <c r="D5" s="138">
        <v>219014</v>
      </c>
      <c r="E5" s="140"/>
      <c r="F5" s="138">
        <v>891506</v>
      </c>
      <c r="G5" s="140">
        <v>893599</v>
      </c>
      <c r="H5" s="138">
        <v>4468989</v>
      </c>
      <c r="I5" s="139"/>
      <c r="J5" s="139">
        <v>532861</v>
      </c>
      <c r="K5" s="140"/>
      <c r="L5" s="138">
        <v>1301960</v>
      </c>
      <c r="M5" s="140">
        <v>1191270</v>
      </c>
      <c r="N5" s="138">
        <v>339737</v>
      </c>
      <c r="O5" s="140"/>
      <c r="P5" s="138">
        <v>181911</v>
      </c>
      <c r="Q5" s="140"/>
      <c r="R5" s="138">
        <v>1262852</v>
      </c>
      <c r="S5" s="140"/>
      <c r="T5" s="138">
        <v>339193</v>
      </c>
      <c r="U5" s="140"/>
      <c r="V5" s="138">
        <v>11045857</v>
      </c>
      <c r="W5" s="140"/>
      <c r="X5" s="138">
        <v>1423127</v>
      </c>
      <c r="Y5" s="140"/>
      <c r="Z5" s="679">
        <v>795942</v>
      </c>
      <c r="AA5" s="145"/>
      <c r="AB5" s="138">
        <v>1365291</v>
      </c>
      <c r="AC5" s="140"/>
      <c r="AD5" s="138">
        <v>2577654</v>
      </c>
      <c r="AE5" s="140">
        <v>2243623</v>
      </c>
      <c r="AF5" s="138">
        <v>5595494</v>
      </c>
      <c r="AG5" s="140"/>
      <c r="AH5" s="138">
        <v>1812856</v>
      </c>
      <c r="AI5" s="140"/>
      <c r="AJ5" s="138">
        <v>1890659</v>
      </c>
      <c r="AK5" s="140"/>
      <c r="AL5" s="680"/>
      <c r="AM5" s="140"/>
      <c r="AN5" s="681">
        <v>1274530</v>
      </c>
      <c r="AO5" s="682"/>
      <c r="AP5" s="151">
        <v>356927</v>
      </c>
      <c r="AQ5" s="153"/>
      <c r="AR5" s="154">
        <v>761134</v>
      </c>
      <c r="AS5" s="156"/>
      <c r="AT5" s="138">
        <v>2422880</v>
      </c>
      <c r="AU5" s="140">
        <v>2152730</v>
      </c>
      <c r="AV5" s="157">
        <f>SUM(B5+D5+F5+H5+J5+L5+N5+P5+R5+T5+V5+X5+Z5+AB5+AD5+AF5+AH5+AJ5+AL5+AN5+AP5+AR5+AT5)</f>
        <v>44613515</v>
      </c>
      <c r="AW5" s="683">
        <f>SUM(C5+E5+G5+I5+K5+M5+O5+Q5+S5+U5+W5+Y5+AA5+AC5+AE5+AG5+AI5+AK5+AM5+AO5+AQ5+AS5+AU5)</f>
        <v>10035592</v>
      </c>
      <c r="AX5" s="154">
        <v>277839950</v>
      </c>
      <c r="AY5" s="156">
        <v>255664879</v>
      </c>
      <c r="AZ5" s="157">
        <f>AV5+AX5</f>
        <v>322453465</v>
      </c>
      <c r="BA5" s="683">
        <f>AW5+AY5</f>
        <v>265700471</v>
      </c>
    </row>
    <row r="6" spans="1:53" s="75" customFormat="1" x14ac:dyDescent="0.3">
      <c r="A6" s="678" t="s">
        <v>124</v>
      </c>
      <c r="B6" s="160"/>
      <c r="C6" s="161"/>
      <c r="D6" s="47"/>
      <c r="E6" s="48"/>
      <c r="F6" s="47"/>
      <c r="G6" s="48"/>
      <c r="H6" s="47"/>
      <c r="I6" s="43"/>
      <c r="J6" s="43"/>
      <c r="K6" s="48"/>
      <c r="L6" s="47"/>
      <c r="M6" s="48"/>
      <c r="N6" s="47"/>
      <c r="O6" s="48"/>
      <c r="P6" s="47"/>
      <c r="Q6" s="48"/>
      <c r="R6" s="47"/>
      <c r="S6" s="48"/>
      <c r="T6" s="47"/>
      <c r="U6" s="48"/>
      <c r="V6" s="47"/>
      <c r="W6" s="48"/>
      <c r="X6" s="47"/>
      <c r="Y6" s="48"/>
      <c r="Z6" s="50"/>
      <c r="AA6" s="52"/>
      <c r="AB6" s="47"/>
      <c r="AC6" s="48"/>
      <c r="AD6" s="47"/>
      <c r="AE6" s="48"/>
      <c r="AF6" s="47"/>
      <c r="AG6" s="48"/>
      <c r="AH6" s="47"/>
      <c r="AI6" s="48"/>
      <c r="AJ6" s="47"/>
      <c r="AK6" s="48"/>
      <c r="AL6" s="684"/>
      <c r="AM6" s="48"/>
      <c r="AN6" s="47"/>
      <c r="AO6" s="48"/>
      <c r="AP6" s="54"/>
      <c r="AQ6" s="56"/>
      <c r="AR6" s="57"/>
      <c r="AS6" s="59"/>
      <c r="AT6" s="47"/>
      <c r="AU6" s="48"/>
      <c r="AV6" s="70">
        <f t="shared" ref="AV6:AW15" si="0">SUM(B6+D6+F6+H6+J6+L6+N6+P6+R6+T6+V6+X6+Z6+AB6+AD6+AF6+AH6+AJ6+AL6+AN6+AP6+AR6+AT6)</f>
        <v>0</v>
      </c>
      <c r="AW6" s="71">
        <f t="shared" si="0"/>
        <v>0</v>
      </c>
      <c r="AX6" s="57"/>
      <c r="AY6" s="59"/>
      <c r="AZ6" s="70">
        <f t="shared" ref="AZ6:BA15" si="1">AV6+AX6</f>
        <v>0</v>
      </c>
      <c r="BA6" s="71">
        <f t="shared" si="1"/>
        <v>0</v>
      </c>
    </row>
    <row r="7" spans="1:53" s="75" customFormat="1" x14ac:dyDescent="0.3">
      <c r="A7" s="678" t="s">
        <v>125</v>
      </c>
      <c r="B7" s="35">
        <v>3754079</v>
      </c>
      <c r="C7" s="38">
        <v>3552209</v>
      </c>
      <c r="D7" s="70">
        <v>204822</v>
      </c>
      <c r="E7" s="71"/>
      <c r="F7" s="70">
        <v>844417</v>
      </c>
      <c r="G7" s="71">
        <v>847779</v>
      </c>
      <c r="H7" s="70">
        <v>4376129</v>
      </c>
      <c r="I7" s="66"/>
      <c r="J7" s="66">
        <v>502157</v>
      </c>
      <c r="K7" s="71"/>
      <c r="L7" s="70">
        <v>1284257</v>
      </c>
      <c r="M7" s="71">
        <v>1172764</v>
      </c>
      <c r="N7" s="70">
        <v>333380</v>
      </c>
      <c r="O7" s="71"/>
      <c r="P7" s="70">
        <v>179550</v>
      </c>
      <c r="Q7" s="71"/>
      <c r="R7" s="70">
        <v>1255227</v>
      </c>
      <c r="S7" s="71"/>
      <c r="T7" s="70">
        <v>333335</v>
      </c>
      <c r="U7" s="71"/>
      <c r="V7" s="70">
        <v>-10983584</v>
      </c>
      <c r="W7" s="71"/>
      <c r="X7" s="70">
        <v>1398241</v>
      </c>
      <c r="Y7" s="71"/>
      <c r="Z7" s="50">
        <v>772546</v>
      </c>
      <c r="AA7" s="52"/>
      <c r="AB7" s="70"/>
      <c r="AC7" s="71"/>
      <c r="AD7" s="72">
        <v>2438177</v>
      </c>
      <c r="AE7" s="74">
        <v>2116802</v>
      </c>
      <c r="AF7" s="70">
        <v>5419835</v>
      </c>
      <c r="AG7" s="71"/>
      <c r="AH7" s="70">
        <v>1788740</v>
      </c>
      <c r="AI7" s="71"/>
      <c r="AJ7" s="70">
        <v>1857570</v>
      </c>
      <c r="AK7" s="71"/>
      <c r="AL7" s="684"/>
      <c r="AM7" s="48"/>
      <c r="AN7" s="681">
        <v>1269645</v>
      </c>
      <c r="AO7" s="48"/>
      <c r="AP7" s="54">
        <v>349757</v>
      </c>
      <c r="AQ7" s="56"/>
      <c r="AR7" s="57">
        <v>723473</v>
      </c>
      <c r="AS7" s="59"/>
      <c r="AT7" s="70">
        <v>2420023</v>
      </c>
      <c r="AU7" s="71">
        <v>2150833</v>
      </c>
      <c r="AV7" s="70">
        <f t="shared" si="0"/>
        <v>20521776</v>
      </c>
      <c r="AW7" s="71">
        <f t="shared" si="0"/>
        <v>9840387</v>
      </c>
      <c r="AX7" s="70">
        <v>264904369</v>
      </c>
      <c r="AY7" s="71">
        <v>243675988</v>
      </c>
      <c r="AZ7" s="70">
        <f t="shared" si="1"/>
        <v>285426145</v>
      </c>
      <c r="BA7" s="71">
        <f t="shared" si="1"/>
        <v>253516375</v>
      </c>
    </row>
    <row r="8" spans="1:53" s="75" customFormat="1" x14ac:dyDescent="0.3">
      <c r="A8" s="678" t="s">
        <v>126</v>
      </c>
      <c r="B8" s="160"/>
      <c r="C8" s="161"/>
      <c r="D8" s="47"/>
      <c r="E8" s="48"/>
      <c r="F8" s="47">
        <v>42337</v>
      </c>
      <c r="G8" s="48">
        <v>43600</v>
      </c>
      <c r="H8" s="47"/>
      <c r="I8" s="43"/>
      <c r="J8" s="43">
        <v>18941</v>
      </c>
      <c r="K8" s="48"/>
      <c r="L8" s="47"/>
      <c r="M8" s="48"/>
      <c r="N8" s="47"/>
      <c r="O8" s="48"/>
      <c r="P8" s="47"/>
      <c r="Q8" s="48"/>
      <c r="R8" s="47"/>
      <c r="S8" s="48"/>
      <c r="T8" s="47"/>
      <c r="U8" s="48"/>
      <c r="V8" s="47"/>
      <c r="W8" s="48"/>
      <c r="X8" s="47">
        <v>14504</v>
      </c>
      <c r="Y8" s="48"/>
      <c r="Z8" s="47"/>
      <c r="AA8" s="48"/>
      <c r="AB8" s="47">
        <f>1339207+18090</f>
        <v>1357297</v>
      </c>
      <c r="AC8" s="48"/>
      <c r="AD8" s="47">
        <v>88378</v>
      </c>
      <c r="AE8" s="48">
        <v>88013</v>
      </c>
      <c r="AF8" s="47"/>
      <c r="AG8" s="48"/>
      <c r="AH8" s="47">
        <v>622</v>
      </c>
      <c r="AI8" s="48"/>
      <c r="AJ8" s="47"/>
      <c r="AK8" s="48"/>
      <c r="AL8" s="684"/>
      <c r="AM8" s="48"/>
      <c r="AN8" s="685"/>
      <c r="AO8" s="686"/>
      <c r="AP8" s="54"/>
      <c r="AQ8" s="56"/>
      <c r="AR8" s="57">
        <v>16850</v>
      </c>
      <c r="AS8" s="59"/>
      <c r="AT8" s="47"/>
      <c r="AU8" s="48"/>
      <c r="AV8" s="70">
        <f t="shared" si="0"/>
        <v>1538929</v>
      </c>
      <c r="AW8" s="71">
        <f t="shared" si="0"/>
        <v>131613</v>
      </c>
      <c r="AX8" s="57">
        <v>15209</v>
      </c>
      <c r="AY8" s="59">
        <v>4024</v>
      </c>
      <c r="AZ8" s="70">
        <f t="shared" si="1"/>
        <v>1554138</v>
      </c>
      <c r="BA8" s="71">
        <f t="shared" si="1"/>
        <v>135637</v>
      </c>
    </row>
    <row r="9" spans="1:53" s="75" customFormat="1" x14ac:dyDescent="0.3">
      <c r="A9" s="678" t="s">
        <v>127</v>
      </c>
      <c r="B9" s="160">
        <v>-938</v>
      </c>
      <c r="C9" s="161">
        <v>2160</v>
      </c>
      <c r="D9" s="47">
        <v>14192</v>
      </c>
      <c r="E9" s="48"/>
      <c r="F9" s="47">
        <v>4752</v>
      </c>
      <c r="G9" s="48">
        <v>2220</v>
      </c>
      <c r="H9" s="47">
        <v>92861</v>
      </c>
      <c r="I9" s="43"/>
      <c r="J9" s="43">
        <v>11762</v>
      </c>
      <c r="K9" s="48"/>
      <c r="L9" s="47">
        <v>17703</v>
      </c>
      <c r="M9" s="48">
        <v>18506</v>
      </c>
      <c r="N9" s="47">
        <v>6357</v>
      </c>
      <c r="O9" s="48"/>
      <c r="P9" s="47">
        <v>2361</v>
      </c>
      <c r="Q9" s="48"/>
      <c r="R9" s="47">
        <v>7625</v>
      </c>
      <c r="S9" s="48"/>
      <c r="T9" s="47">
        <v>5858</v>
      </c>
      <c r="U9" s="48"/>
      <c r="V9" s="47">
        <v>62273</v>
      </c>
      <c r="W9" s="48"/>
      <c r="X9" s="47">
        <v>10380</v>
      </c>
      <c r="Y9" s="48"/>
      <c r="Z9" s="47">
        <v>23396</v>
      </c>
      <c r="AA9" s="48"/>
      <c r="AB9" s="47">
        <v>7994</v>
      </c>
      <c r="AC9" s="48"/>
      <c r="AD9" s="47">
        <v>51100</v>
      </c>
      <c r="AE9" s="48">
        <v>38808</v>
      </c>
      <c r="AF9" s="47">
        <v>175659</v>
      </c>
      <c r="AG9" s="48"/>
      <c r="AH9" s="47">
        <v>23495</v>
      </c>
      <c r="AI9" s="48"/>
      <c r="AJ9" s="47">
        <v>33090</v>
      </c>
      <c r="AK9" s="48"/>
      <c r="AL9" s="684"/>
      <c r="AM9" s="48"/>
      <c r="AN9" s="681">
        <v>4884</v>
      </c>
      <c r="AO9" s="686"/>
      <c r="AP9" s="54">
        <v>7170</v>
      </c>
      <c r="AQ9" s="56"/>
      <c r="AR9" s="57">
        <v>20811</v>
      </c>
      <c r="AS9" s="59"/>
      <c r="AT9" s="47">
        <v>2857</v>
      </c>
      <c r="AU9" s="48">
        <v>1897</v>
      </c>
      <c r="AV9" s="70">
        <f t="shared" si="0"/>
        <v>585642</v>
      </c>
      <c r="AW9" s="71">
        <f t="shared" si="0"/>
        <v>63591</v>
      </c>
      <c r="AX9" s="57">
        <v>12920372</v>
      </c>
      <c r="AY9" s="59">
        <v>11984867</v>
      </c>
      <c r="AZ9" s="70">
        <f t="shared" si="1"/>
        <v>13506014</v>
      </c>
      <c r="BA9" s="71">
        <f t="shared" si="1"/>
        <v>12048458</v>
      </c>
    </row>
    <row r="10" spans="1:53" s="75" customFormat="1" x14ac:dyDescent="0.3">
      <c r="A10" s="678" t="s">
        <v>128</v>
      </c>
      <c r="B10" s="160">
        <v>205254</v>
      </c>
      <c r="C10" s="161">
        <v>184852</v>
      </c>
      <c r="D10" s="47">
        <v>10132</v>
      </c>
      <c r="E10" s="48"/>
      <c r="F10" s="47">
        <v>66911</v>
      </c>
      <c r="G10" s="48">
        <v>66798</v>
      </c>
      <c r="H10" s="47">
        <v>941417</v>
      </c>
      <c r="I10" s="43"/>
      <c r="J10" s="43">
        <v>38289</v>
      </c>
      <c r="K10" s="48"/>
      <c r="L10" s="47">
        <v>90774</v>
      </c>
      <c r="M10" s="48">
        <v>73484</v>
      </c>
      <c r="N10" s="47">
        <v>78898</v>
      </c>
      <c r="O10" s="48"/>
      <c r="P10" s="47">
        <v>18989</v>
      </c>
      <c r="Q10" s="48"/>
      <c r="R10" s="47">
        <v>93511</v>
      </c>
      <c r="S10" s="48"/>
      <c r="T10" s="47">
        <v>17396</v>
      </c>
      <c r="U10" s="48"/>
      <c r="V10" s="47">
        <v>543034</v>
      </c>
      <c r="W10" s="48"/>
      <c r="X10" s="47">
        <v>76509</v>
      </c>
      <c r="Y10" s="48"/>
      <c r="Z10" s="50">
        <v>69023</v>
      </c>
      <c r="AA10" s="52"/>
      <c r="AB10" s="47">
        <v>77529</v>
      </c>
      <c r="AC10" s="48"/>
      <c r="AD10" s="47">
        <v>233107</v>
      </c>
      <c r="AE10" s="48">
        <v>193299</v>
      </c>
      <c r="AF10" s="47">
        <v>448794</v>
      </c>
      <c r="AG10" s="48"/>
      <c r="AH10" s="47">
        <v>115558</v>
      </c>
      <c r="AI10" s="48"/>
      <c r="AJ10" s="47">
        <v>122965</v>
      </c>
      <c r="AK10" s="48"/>
      <c r="AL10" s="684"/>
      <c r="AM10" s="48"/>
      <c r="AN10" s="681">
        <v>71554</v>
      </c>
      <c r="AO10" s="48"/>
      <c r="AP10" s="54">
        <v>35010</v>
      </c>
      <c r="AQ10" s="56"/>
      <c r="AR10" s="57">
        <v>52305</v>
      </c>
      <c r="AS10" s="59"/>
      <c r="AT10" s="47">
        <v>205973</v>
      </c>
      <c r="AU10" s="48">
        <v>193815</v>
      </c>
      <c r="AV10" s="70">
        <f t="shared" si="0"/>
        <v>3612932</v>
      </c>
      <c r="AW10" s="71">
        <f t="shared" si="0"/>
        <v>712248</v>
      </c>
      <c r="AX10" s="47">
        <v>10000</v>
      </c>
      <c r="AY10" s="48">
        <v>10000</v>
      </c>
      <c r="AZ10" s="70">
        <f t="shared" si="1"/>
        <v>3622932</v>
      </c>
      <c r="BA10" s="71">
        <f t="shared" si="1"/>
        <v>722248</v>
      </c>
    </row>
    <row r="11" spans="1:53" s="75" customFormat="1" x14ac:dyDescent="0.3">
      <c r="A11" s="678" t="s">
        <v>124</v>
      </c>
      <c r="B11" s="160"/>
      <c r="C11" s="161"/>
      <c r="D11" s="47"/>
      <c r="E11" s="48"/>
      <c r="F11" s="47"/>
      <c r="G11" s="48"/>
      <c r="H11" s="47"/>
      <c r="I11" s="43"/>
      <c r="J11" s="43"/>
      <c r="K11" s="48"/>
      <c r="L11" s="47"/>
      <c r="M11" s="48"/>
      <c r="N11" s="47"/>
      <c r="O11" s="48"/>
      <c r="P11" s="47"/>
      <c r="Q11" s="48"/>
      <c r="R11" s="47"/>
      <c r="S11" s="48"/>
      <c r="T11" s="47"/>
      <c r="U11" s="48"/>
      <c r="V11" s="47"/>
      <c r="W11" s="48"/>
      <c r="X11" s="47"/>
      <c r="Y11" s="48"/>
      <c r="Z11" s="50"/>
      <c r="AA11" s="52"/>
      <c r="AB11" s="47"/>
      <c r="AC11" s="48"/>
      <c r="AD11" s="47"/>
      <c r="AE11" s="48"/>
      <c r="AF11" s="47"/>
      <c r="AG11" s="48"/>
      <c r="AH11" s="47"/>
      <c r="AI11" s="48"/>
      <c r="AJ11" s="47"/>
      <c r="AK11" s="48"/>
      <c r="AL11" s="684"/>
      <c r="AM11" s="48"/>
      <c r="AN11" s="685"/>
      <c r="AO11" s="686"/>
      <c r="AP11" s="54"/>
      <c r="AQ11" s="56"/>
      <c r="AR11" s="57"/>
      <c r="AS11" s="59"/>
      <c r="AT11" s="47"/>
      <c r="AU11" s="48"/>
      <c r="AV11" s="70">
        <f t="shared" si="0"/>
        <v>0</v>
      </c>
      <c r="AW11" s="71">
        <f t="shared" si="0"/>
        <v>0</v>
      </c>
      <c r="AX11" s="47"/>
      <c r="AY11" s="48"/>
      <c r="AZ11" s="70">
        <f t="shared" si="1"/>
        <v>0</v>
      </c>
      <c r="BA11" s="71">
        <f t="shared" si="1"/>
        <v>0</v>
      </c>
    </row>
    <row r="12" spans="1:53" s="75" customFormat="1" x14ac:dyDescent="0.3">
      <c r="A12" s="678" t="s">
        <v>129</v>
      </c>
      <c r="B12" s="160"/>
      <c r="C12" s="161"/>
      <c r="D12" s="47"/>
      <c r="E12" s="48"/>
      <c r="F12" s="47">
        <v>271</v>
      </c>
      <c r="G12" s="48">
        <v>406</v>
      </c>
      <c r="H12" s="47">
        <v>30014</v>
      </c>
      <c r="I12" s="43"/>
      <c r="J12" s="43">
        <v>16739</v>
      </c>
      <c r="K12" s="48"/>
      <c r="L12" s="47"/>
      <c r="M12" s="48"/>
      <c r="N12" s="47"/>
      <c r="O12" s="48"/>
      <c r="P12" s="47"/>
      <c r="Q12" s="48"/>
      <c r="R12" s="47"/>
      <c r="S12" s="48"/>
      <c r="T12" s="47"/>
      <c r="U12" s="48"/>
      <c r="V12" s="47"/>
      <c r="W12" s="48"/>
      <c r="X12" s="47">
        <v>15444</v>
      </c>
      <c r="Y12" s="48"/>
      <c r="Z12" s="50"/>
      <c r="AA12" s="52"/>
      <c r="AB12" s="47">
        <v>15572</v>
      </c>
      <c r="AC12" s="48"/>
      <c r="AD12" s="47"/>
      <c r="AE12" s="48">
        <v>1294</v>
      </c>
      <c r="AF12" s="47">
        <v>172577</v>
      </c>
      <c r="AG12" s="48"/>
      <c r="AH12" s="47"/>
      <c r="AI12" s="48"/>
      <c r="AJ12" s="47"/>
      <c r="AK12" s="48"/>
      <c r="AL12" s="684"/>
      <c r="AM12" s="48"/>
      <c r="AN12" s="685"/>
      <c r="AO12" s="686"/>
      <c r="AP12" s="54"/>
      <c r="AQ12" s="56"/>
      <c r="AR12" s="57"/>
      <c r="AS12" s="59"/>
      <c r="AT12" s="47"/>
      <c r="AU12" s="48"/>
      <c r="AV12" s="70">
        <f t="shared" si="0"/>
        <v>250617</v>
      </c>
      <c r="AW12" s="71">
        <f t="shared" si="0"/>
        <v>1700</v>
      </c>
      <c r="AX12" s="47"/>
      <c r="AY12" s="48"/>
      <c r="AZ12" s="70">
        <f t="shared" si="1"/>
        <v>250617</v>
      </c>
      <c r="BA12" s="71">
        <f t="shared" si="1"/>
        <v>1700</v>
      </c>
    </row>
    <row r="13" spans="1:53" s="75" customFormat="1" x14ac:dyDescent="0.3">
      <c r="A13" s="678" t="s">
        <v>130</v>
      </c>
      <c r="B13" s="160">
        <v>205254</v>
      </c>
      <c r="C13" s="161">
        <v>184852</v>
      </c>
      <c r="D13" s="47">
        <v>10132</v>
      </c>
      <c r="E13" s="48"/>
      <c r="F13" s="47">
        <v>66640</v>
      </c>
      <c r="G13" s="48">
        <v>66392</v>
      </c>
      <c r="H13" s="47">
        <v>911403</v>
      </c>
      <c r="I13" s="43"/>
      <c r="J13" s="43">
        <v>21550</v>
      </c>
      <c r="K13" s="48"/>
      <c r="L13" s="47">
        <v>90774</v>
      </c>
      <c r="M13" s="48">
        <v>73484</v>
      </c>
      <c r="N13" s="47">
        <v>78898</v>
      </c>
      <c r="O13" s="48"/>
      <c r="P13" s="47">
        <v>18989</v>
      </c>
      <c r="Q13" s="48"/>
      <c r="R13" s="47">
        <v>93511</v>
      </c>
      <c r="S13" s="48"/>
      <c r="T13" s="47">
        <v>17396</v>
      </c>
      <c r="U13" s="48"/>
      <c r="V13" s="47">
        <v>543034</v>
      </c>
      <c r="W13" s="48"/>
      <c r="X13" s="47">
        <v>61065</v>
      </c>
      <c r="Y13" s="48"/>
      <c r="Z13" s="50">
        <v>69023</v>
      </c>
      <c r="AA13" s="52"/>
      <c r="AB13" s="47">
        <v>61957</v>
      </c>
      <c r="AC13" s="48"/>
      <c r="AD13" s="47">
        <v>233107</v>
      </c>
      <c r="AE13" s="48">
        <v>192005</v>
      </c>
      <c r="AF13" s="47">
        <v>276216</v>
      </c>
      <c r="AG13" s="48"/>
      <c r="AH13" s="47">
        <v>115558</v>
      </c>
      <c r="AI13" s="48"/>
      <c r="AJ13" s="47">
        <v>122965</v>
      </c>
      <c r="AK13" s="48"/>
      <c r="AL13" s="684"/>
      <c r="AM13" s="48"/>
      <c r="AN13" s="681">
        <v>71554</v>
      </c>
      <c r="AO13" s="687"/>
      <c r="AP13" s="54">
        <v>35010</v>
      </c>
      <c r="AQ13" s="56"/>
      <c r="AR13" s="57">
        <v>52305</v>
      </c>
      <c r="AS13" s="59"/>
      <c r="AT13" s="47">
        <v>205973</v>
      </c>
      <c r="AU13" s="48">
        <v>193815</v>
      </c>
      <c r="AV13" s="70">
        <f t="shared" si="0"/>
        <v>3362314</v>
      </c>
      <c r="AW13" s="71">
        <f t="shared" si="0"/>
        <v>710548</v>
      </c>
      <c r="AX13" s="57">
        <v>10000</v>
      </c>
      <c r="AY13" s="59">
        <v>10000</v>
      </c>
      <c r="AZ13" s="70">
        <f t="shared" si="1"/>
        <v>3372314</v>
      </c>
      <c r="BA13" s="71">
        <f t="shared" si="1"/>
        <v>720548</v>
      </c>
    </row>
    <row r="14" spans="1:53" s="75" customFormat="1" x14ac:dyDescent="0.3">
      <c r="A14" s="678" t="s">
        <v>131</v>
      </c>
      <c r="B14" s="160">
        <v>204316</v>
      </c>
      <c r="C14" s="161">
        <v>187013</v>
      </c>
      <c r="D14" s="47">
        <v>24324</v>
      </c>
      <c r="E14" s="48"/>
      <c r="F14" s="47">
        <f>F9+F13</f>
        <v>71392</v>
      </c>
      <c r="G14" s="48">
        <f>G9+G13</f>
        <v>68612</v>
      </c>
      <c r="H14" s="47">
        <f>H9+H13</f>
        <v>1004264</v>
      </c>
      <c r="I14" s="43">
        <f>I9+I13</f>
        <v>0</v>
      </c>
      <c r="J14" s="43">
        <f t="shared" ref="J14:AU14" si="2">J9+J13</f>
        <v>33312</v>
      </c>
      <c r="K14" s="48">
        <f t="shared" si="2"/>
        <v>0</v>
      </c>
      <c r="L14" s="47">
        <f t="shared" si="2"/>
        <v>108477</v>
      </c>
      <c r="M14" s="48">
        <f t="shared" si="2"/>
        <v>91990</v>
      </c>
      <c r="N14" s="47">
        <f t="shared" si="2"/>
        <v>85255</v>
      </c>
      <c r="O14" s="48">
        <f t="shared" si="2"/>
        <v>0</v>
      </c>
      <c r="P14" s="47">
        <f t="shared" si="2"/>
        <v>21350</v>
      </c>
      <c r="Q14" s="48">
        <f t="shared" si="2"/>
        <v>0</v>
      </c>
      <c r="R14" s="47">
        <f t="shared" si="2"/>
        <v>101136</v>
      </c>
      <c r="S14" s="48">
        <f t="shared" si="2"/>
        <v>0</v>
      </c>
      <c r="T14" s="47">
        <f t="shared" si="2"/>
        <v>23254</v>
      </c>
      <c r="U14" s="48">
        <f t="shared" si="2"/>
        <v>0</v>
      </c>
      <c r="V14" s="47">
        <f t="shared" si="2"/>
        <v>605307</v>
      </c>
      <c r="W14" s="48">
        <f t="shared" si="2"/>
        <v>0</v>
      </c>
      <c r="X14" s="47">
        <f t="shared" si="2"/>
        <v>71445</v>
      </c>
      <c r="Y14" s="48">
        <f t="shared" si="2"/>
        <v>0</v>
      </c>
      <c r="Z14" s="47">
        <f t="shared" si="2"/>
        <v>92419</v>
      </c>
      <c r="AA14" s="48">
        <f t="shared" si="2"/>
        <v>0</v>
      </c>
      <c r="AB14" s="47">
        <f t="shared" si="2"/>
        <v>69951</v>
      </c>
      <c r="AC14" s="48">
        <f t="shared" si="2"/>
        <v>0</v>
      </c>
      <c r="AD14" s="47">
        <f t="shared" si="2"/>
        <v>284207</v>
      </c>
      <c r="AE14" s="48">
        <f t="shared" si="2"/>
        <v>230813</v>
      </c>
      <c r="AF14" s="47">
        <f t="shared" si="2"/>
        <v>451875</v>
      </c>
      <c r="AG14" s="48">
        <f t="shared" si="2"/>
        <v>0</v>
      </c>
      <c r="AH14" s="47">
        <f t="shared" si="2"/>
        <v>139053</v>
      </c>
      <c r="AI14" s="48">
        <f t="shared" si="2"/>
        <v>0</v>
      </c>
      <c r="AJ14" s="47">
        <f t="shared" si="2"/>
        <v>156055</v>
      </c>
      <c r="AK14" s="48">
        <f t="shared" si="2"/>
        <v>0</v>
      </c>
      <c r="AL14" s="47">
        <f t="shared" si="2"/>
        <v>0</v>
      </c>
      <c r="AM14" s="48">
        <f t="shared" si="2"/>
        <v>0</v>
      </c>
      <c r="AN14" s="47">
        <f t="shared" si="2"/>
        <v>76438</v>
      </c>
      <c r="AO14" s="48">
        <f t="shared" si="2"/>
        <v>0</v>
      </c>
      <c r="AP14" s="47">
        <f t="shared" si="2"/>
        <v>42180</v>
      </c>
      <c r="AQ14" s="48">
        <f t="shared" si="2"/>
        <v>0</v>
      </c>
      <c r="AR14" s="47">
        <f t="shared" si="2"/>
        <v>73116</v>
      </c>
      <c r="AS14" s="48">
        <f t="shared" si="2"/>
        <v>0</v>
      </c>
      <c r="AT14" s="47">
        <f t="shared" si="2"/>
        <v>208830</v>
      </c>
      <c r="AU14" s="48">
        <f t="shared" si="2"/>
        <v>195712</v>
      </c>
      <c r="AV14" s="70">
        <f t="shared" si="0"/>
        <v>3947956</v>
      </c>
      <c r="AW14" s="71">
        <f t="shared" si="0"/>
        <v>774140</v>
      </c>
      <c r="AX14" s="47">
        <f t="shared" ref="AX14:AY14" si="3">AX9+AX13</f>
        <v>12930372</v>
      </c>
      <c r="AY14" s="48">
        <f t="shared" si="3"/>
        <v>11994867</v>
      </c>
      <c r="AZ14" s="70">
        <f t="shared" si="1"/>
        <v>16878328</v>
      </c>
      <c r="BA14" s="71">
        <f t="shared" si="1"/>
        <v>12769007</v>
      </c>
    </row>
    <row r="15" spans="1:53" s="75" customFormat="1" ht="15" thickBot="1" x14ac:dyDescent="0.35">
      <c r="A15" s="678" t="s">
        <v>132</v>
      </c>
      <c r="B15" s="688">
        <v>100398</v>
      </c>
      <c r="C15" s="689">
        <v>89343</v>
      </c>
      <c r="D15" s="690">
        <v>12151</v>
      </c>
      <c r="E15" s="691"/>
      <c r="F15" s="690">
        <v>24211</v>
      </c>
      <c r="G15" s="691">
        <v>22608</v>
      </c>
      <c r="H15" s="690">
        <v>130998</v>
      </c>
      <c r="I15" s="692"/>
      <c r="J15" s="692">
        <v>19612</v>
      </c>
      <c r="K15" s="691"/>
      <c r="L15" s="690">
        <v>29090</v>
      </c>
      <c r="M15" s="691">
        <v>24262</v>
      </c>
      <c r="N15" s="690">
        <v>17752</v>
      </c>
      <c r="O15" s="691"/>
      <c r="P15" s="690">
        <v>9002</v>
      </c>
      <c r="Q15" s="691"/>
      <c r="R15" s="690">
        <v>54230</v>
      </c>
      <c r="S15" s="691"/>
      <c r="T15" s="690">
        <v>14954</v>
      </c>
      <c r="U15" s="691"/>
      <c r="V15" s="690">
        <v>316305</v>
      </c>
      <c r="W15" s="691"/>
      <c r="X15" s="690">
        <v>31847</v>
      </c>
      <c r="Y15" s="691"/>
      <c r="Z15" s="693">
        <v>24014</v>
      </c>
      <c r="AA15" s="694"/>
      <c r="AB15" s="690">
        <v>41525</v>
      </c>
      <c r="AC15" s="691"/>
      <c r="AD15" s="690">
        <v>91556</v>
      </c>
      <c r="AE15" s="691">
        <v>74972</v>
      </c>
      <c r="AF15" s="690">
        <v>189426</v>
      </c>
      <c r="AG15" s="691"/>
      <c r="AH15" s="690">
        <v>69433</v>
      </c>
      <c r="AI15" s="691"/>
      <c r="AJ15" s="690">
        <v>55909</v>
      </c>
      <c r="AK15" s="691"/>
      <c r="AL15" s="695"/>
      <c r="AM15" s="691"/>
      <c r="AN15" s="681">
        <v>34314</v>
      </c>
      <c r="AO15" s="696"/>
      <c r="AP15" s="697">
        <v>19699</v>
      </c>
      <c r="AQ15" s="698"/>
      <c r="AR15" s="699">
        <v>25216</v>
      </c>
      <c r="AS15" s="700"/>
      <c r="AT15" s="690">
        <v>80771</v>
      </c>
      <c r="AU15" s="691">
        <v>66301</v>
      </c>
      <c r="AV15" s="701">
        <f t="shared" si="0"/>
        <v>1392413</v>
      </c>
      <c r="AW15" s="702">
        <f t="shared" si="0"/>
        <v>277486</v>
      </c>
      <c r="AX15" s="699">
        <v>8609087</v>
      </c>
      <c r="AY15" s="700">
        <v>7935171</v>
      </c>
      <c r="AZ15" s="701">
        <f t="shared" si="1"/>
        <v>10001500</v>
      </c>
      <c r="BA15" s="702">
        <f t="shared" si="1"/>
        <v>8212657</v>
      </c>
    </row>
    <row r="16" spans="1:53" s="716" customFormat="1" ht="15" thickBot="1" x14ac:dyDescent="0.35">
      <c r="A16" s="703" t="s">
        <v>133</v>
      </c>
      <c r="B16" s="704">
        <v>2.04</v>
      </c>
      <c r="C16" s="705">
        <v>2.09</v>
      </c>
      <c r="D16" s="706">
        <v>2</v>
      </c>
      <c r="E16" s="707"/>
      <c r="F16" s="706">
        <v>2.95</v>
      </c>
      <c r="G16" s="707">
        <v>3.03</v>
      </c>
      <c r="H16" s="706">
        <v>7.67</v>
      </c>
      <c r="I16" s="708"/>
      <c r="J16" s="708">
        <v>1.7</v>
      </c>
      <c r="K16" s="707"/>
      <c r="L16" s="706">
        <v>3.73</v>
      </c>
      <c r="M16" s="707">
        <v>3.79</v>
      </c>
      <c r="N16" s="706">
        <v>4.8</v>
      </c>
      <c r="O16" s="707"/>
      <c r="P16" s="706">
        <v>2.37</v>
      </c>
      <c r="Q16" s="707"/>
      <c r="R16" s="706">
        <v>1.865</v>
      </c>
      <c r="S16" s="707"/>
      <c r="T16" s="706">
        <v>1.56</v>
      </c>
      <c r="U16" s="707"/>
      <c r="V16" s="706">
        <v>1.91</v>
      </c>
      <c r="W16" s="707"/>
      <c r="X16" s="706">
        <v>2.2400000000000002</v>
      </c>
      <c r="Y16" s="707"/>
      <c r="Z16" s="709">
        <v>3.85</v>
      </c>
      <c r="AA16" s="710"/>
      <c r="AB16" s="706">
        <v>1.68</v>
      </c>
      <c r="AC16" s="707"/>
      <c r="AD16" s="706">
        <v>3.1</v>
      </c>
      <c r="AE16" s="707">
        <v>3.08</v>
      </c>
      <c r="AF16" s="706">
        <v>2.39</v>
      </c>
      <c r="AG16" s="707"/>
      <c r="AH16" s="706">
        <v>2</v>
      </c>
      <c r="AI16" s="707"/>
      <c r="AJ16" s="706">
        <v>2.79</v>
      </c>
      <c r="AK16" s="707"/>
      <c r="AL16" s="711"/>
      <c r="AM16" s="707"/>
      <c r="AN16" s="706">
        <v>2.23</v>
      </c>
      <c r="AO16" s="707"/>
      <c r="AP16" s="712">
        <v>2.14</v>
      </c>
      <c r="AQ16" s="713"/>
      <c r="AR16" s="714">
        <v>2.9</v>
      </c>
      <c r="AS16" s="715"/>
      <c r="AT16" s="706">
        <v>2.59</v>
      </c>
      <c r="AU16" s="707">
        <v>2.95</v>
      </c>
      <c r="AV16" s="706"/>
      <c r="AW16" s="707"/>
      <c r="AX16" s="706">
        <v>1.5</v>
      </c>
      <c r="AY16" s="707">
        <v>1.51</v>
      </c>
      <c r="AZ16" s="706"/>
      <c r="BA16" s="707"/>
    </row>
  </sheetData>
  <mergeCells count="28">
    <mergeCell ref="AB3:AC3"/>
    <mergeCell ref="A1:BA1"/>
    <mergeCell ref="A2:BA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Z3:BA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Q14"/>
  <sheetViews>
    <sheetView workbookViewId="0">
      <pane xSplit="1" topLeftCell="AF1" activePane="topRight" state="frozen"/>
      <selection pane="topRight" activeCell="A5" sqref="A5"/>
    </sheetView>
  </sheetViews>
  <sheetFormatPr defaultRowHeight="14.25" x14ac:dyDescent="0.3"/>
  <cols>
    <col min="1" max="1" width="44.140625" style="23" customWidth="1"/>
    <col min="2" max="2" width="16.140625" style="23" customWidth="1"/>
    <col min="3" max="3" width="7.42578125" style="23" customWidth="1"/>
    <col min="4" max="4" width="19.42578125" style="23" customWidth="1"/>
    <col min="5" max="5" width="14.28515625" style="23" customWidth="1"/>
    <col min="6" max="6" width="9.7109375" style="23" customWidth="1"/>
    <col min="7" max="7" width="18.42578125" style="23" customWidth="1"/>
    <col min="8" max="8" width="5.5703125" style="23" bestFit="1" customWidth="1"/>
    <col min="9" max="9" width="21.7109375" style="23" bestFit="1" customWidth="1"/>
    <col min="10" max="10" width="15.5703125" style="23" bestFit="1" customWidth="1"/>
    <col min="11" max="11" width="9.28515625" style="23" customWidth="1"/>
    <col min="12" max="12" width="16.28515625" style="23" bestFit="1" customWidth="1"/>
    <col min="13" max="13" width="9.28515625" style="23" customWidth="1"/>
    <col min="14" max="14" width="19.5703125" style="23" bestFit="1" customWidth="1"/>
    <col min="15" max="15" width="13.85546875" style="23" bestFit="1" customWidth="1"/>
    <col min="16" max="16" width="9.28515625" style="23" customWidth="1"/>
    <col min="17" max="17" width="16.28515625" style="23" bestFit="1" customWidth="1"/>
    <col min="18" max="18" width="9.28515625" style="23" customWidth="1"/>
    <col min="19" max="19" width="19.5703125" style="23" bestFit="1" customWidth="1"/>
    <col min="20" max="20" width="13.85546875" style="23" bestFit="1" customWidth="1"/>
    <col min="21" max="21" width="9.28515625" style="23" customWidth="1"/>
    <col min="22" max="22" width="16.28515625" style="23" bestFit="1" customWidth="1"/>
    <col min="23" max="23" width="5.140625" style="23" bestFit="1" customWidth="1"/>
    <col min="24" max="24" width="19.5703125" style="23" bestFit="1" customWidth="1"/>
    <col min="25" max="25" width="13.85546875" style="23" bestFit="1" customWidth="1"/>
    <col min="26" max="26" width="9.28515625" style="23" customWidth="1"/>
    <col min="27" max="27" width="16.28515625" style="23" bestFit="1" customWidth="1"/>
    <col min="28" max="28" width="5.140625" style="23" bestFit="1" customWidth="1"/>
    <col min="29" max="29" width="19.5703125" style="23" bestFit="1" customWidth="1"/>
    <col min="30" max="30" width="13.85546875" style="23" bestFit="1" customWidth="1"/>
    <col min="31" max="31" width="9.28515625" style="23" customWidth="1"/>
    <col min="32" max="32" width="16.28515625" style="23" bestFit="1" customWidth="1"/>
    <col min="33" max="33" width="5.140625" style="23" bestFit="1" customWidth="1"/>
    <col min="34" max="34" width="19.5703125" style="23" bestFit="1" customWidth="1"/>
    <col min="35" max="35" width="13.85546875" style="23" bestFit="1" customWidth="1"/>
    <col min="36" max="36" width="10.140625" style="23" customWidth="1"/>
    <col min="37" max="37" width="16.28515625" style="23" bestFit="1" customWidth="1"/>
    <col min="38" max="38" width="5.140625" style="23" bestFit="1" customWidth="1"/>
    <col min="39" max="39" width="19.5703125" style="23" bestFit="1" customWidth="1"/>
    <col min="40" max="40" width="13.85546875" style="23" bestFit="1" customWidth="1"/>
    <col min="41" max="41" width="11" style="23" customWidth="1"/>
    <col min="42" max="42" width="16.28515625" style="23" bestFit="1" customWidth="1"/>
    <col min="43" max="43" width="7" style="23" bestFit="1" customWidth="1"/>
    <col min="44" max="44" width="19.5703125" style="23" bestFit="1" customWidth="1"/>
    <col min="45" max="45" width="13.85546875" style="23" bestFit="1" customWidth="1"/>
    <col min="46" max="46" width="9.28515625" style="23" customWidth="1"/>
    <col min="47" max="47" width="16.28515625" style="23" bestFit="1" customWidth="1"/>
    <col min="48" max="48" width="5.140625" style="23" bestFit="1" customWidth="1"/>
    <col min="49" max="49" width="19.5703125" style="23" bestFit="1" customWidth="1"/>
    <col min="50" max="50" width="13.85546875" style="23" bestFit="1" customWidth="1"/>
    <col min="51" max="51" width="7.7109375" style="23" bestFit="1" customWidth="1"/>
    <col min="52" max="52" width="16.28515625" style="23" bestFit="1" customWidth="1"/>
    <col min="53" max="53" width="5.140625" style="23" bestFit="1" customWidth="1"/>
    <col min="54" max="54" width="19.5703125" style="23" bestFit="1" customWidth="1"/>
    <col min="55" max="55" width="13.85546875" style="23" bestFit="1" customWidth="1"/>
    <col min="56" max="56" width="9.28515625" style="23" customWidth="1"/>
    <col min="57" max="57" width="16.28515625" style="23" bestFit="1" customWidth="1"/>
    <col min="58" max="58" width="6.7109375" style="23" bestFit="1" customWidth="1"/>
    <col min="59" max="59" width="19.5703125" style="23" bestFit="1" customWidth="1"/>
    <col min="60" max="60" width="13.85546875" style="23" bestFit="1" customWidth="1"/>
    <col min="61" max="61" width="13" style="23" customWidth="1"/>
    <col min="62" max="62" width="16.28515625" style="23" bestFit="1" customWidth="1"/>
    <col min="63" max="63" width="7" style="23" bestFit="1" customWidth="1"/>
    <col min="64" max="64" width="19.5703125" style="23" bestFit="1" customWidth="1"/>
    <col min="65" max="65" width="13.85546875" style="23" bestFit="1" customWidth="1"/>
    <col min="66" max="66" width="9.28515625" style="23" customWidth="1"/>
    <col min="67" max="67" width="16.28515625" style="23" bestFit="1" customWidth="1"/>
    <col min="68" max="68" width="9.28515625" style="23" customWidth="1"/>
    <col min="69" max="69" width="19.5703125" style="23" bestFit="1" customWidth="1"/>
    <col min="70" max="70" width="13.85546875" style="23" bestFit="1" customWidth="1"/>
    <col min="71" max="71" width="11.140625" style="23" customWidth="1"/>
    <col min="72" max="72" width="16.28515625" style="23" bestFit="1" customWidth="1"/>
    <col min="73" max="73" width="12" style="23" customWidth="1"/>
    <col min="74" max="74" width="19.5703125" style="23" bestFit="1" customWidth="1"/>
    <col min="75" max="75" width="13.85546875" style="23" bestFit="1" customWidth="1"/>
    <col min="76" max="76" width="12" style="23" customWidth="1"/>
    <col min="77" max="77" width="16.28515625" style="23" bestFit="1" customWidth="1"/>
    <col min="78" max="78" width="9.28515625" style="23" customWidth="1"/>
    <col min="79" max="79" width="19.5703125" style="23" bestFit="1" customWidth="1"/>
    <col min="80" max="80" width="13.85546875" style="23" bestFit="1" customWidth="1"/>
    <col min="81" max="81" width="9.28515625" style="23" customWidth="1"/>
    <col min="82" max="82" width="16.28515625" style="23" bestFit="1" customWidth="1"/>
    <col min="83" max="83" width="5.140625" style="23" bestFit="1" customWidth="1"/>
    <col min="84" max="84" width="19.5703125" style="23" bestFit="1" customWidth="1"/>
    <col min="85" max="85" width="13.85546875" style="23" bestFit="1" customWidth="1"/>
    <col min="86" max="86" width="10.5703125" style="23" customWidth="1"/>
    <col min="87" max="87" width="16.28515625" style="23" bestFit="1" customWidth="1"/>
    <col min="88" max="88" width="5.140625" style="23" bestFit="1" customWidth="1"/>
    <col min="89" max="89" width="19.5703125" style="23" bestFit="1" customWidth="1"/>
    <col min="90" max="90" width="13.85546875" style="23" bestFit="1" customWidth="1"/>
    <col min="91" max="91" width="10.140625" style="23" customWidth="1"/>
    <col min="92" max="92" width="16.28515625" style="23" bestFit="1" customWidth="1"/>
    <col min="93" max="93" width="5.140625" style="23" bestFit="1" customWidth="1"/>
    <col min="94" max="94" width="19.5703125" style="23" bestFit="1" customWidth="1"/>
    <col min="95" max="95" width="13.85546875" style="23" bestFit="1" customWidth="1"/>
    <col min="96" max="96" width="9.140625" style="23"/>
    <col min="97" max="97" width="16.28515625" style="23" bestFit="1" customWidth="1"/>
    <col min="98" max="98" width="6.7109375" style="23" bestFit="1" customWidth="1"/>
    <col min="99" max="99" width="19.5703125" style="23" bestFit="1" customWidth="1"/>
    <col min="100" max="100" width="13.85546875" style="23" bestFit="1" customWidth="1"/>
    <col min="101" max="101" width="11.42578125" style="23" customWidth="1"/>
    <col min="102" max="102" width="16.28515625" style="23" bestFit="1" customWidth="1"/>
    <col min="103" max="103" width="5.140625" style="23" bestFit="1" customWidth="1"/>
    <col min="104" max="104" width="19.5703125" style="23" bestFit="1" customWidth="1"/>
    <col min="105" max="105" width="13.85546875" style="23" bestFit="1" customWidth="1"/>
    <col min="106" max="106" width="9.28515625" style="23" customWidth="1"/>
    <col min="107" max="107" width="16.28515625" style="23" bestFit="1" customWidth="1"/>
    <col min="108" max="108" width="5.140625" style="23" bestFit="1" customWidth="1"/>
    <col min="109" max="109" width="19.5703125" style="23" bestFit="1" customWidth="1"/>
    <col min="110" max="110" width="13.85546875" style="23" bestFit="1" customWidth="1"/>
    <col min="111" max="111" width="9.28515625" style="23" customWidth="1"/>
    <col min="112" max="112" width="16.28515625" style="23" bestFit="1" customWidth="1"/>
    <col min="113" max="113" width="5.140625" style="23" bestFit="1" customWidth="1"/>
    <col min="114" max="114" width="19.5703125" style="23" bestFit="1" customWidth="1"/>
    <col min="115" max="115" width="13.85546875" style="23" bestFit="1" customWidth="1"/>
    <col min="116" max="116" width="9.28515625" style="23" customWidth="1"/>
    <col min="117" max="117" width="16.28515625" style="23" bestFit="1" customWidth="1"/>
    <col min="118" max="118" width="9.5703125" style="23" customWidth="1"/>
    <col min="119" max="119" width="19.5703125" style="23" bestFit="1" customWidth="1"/>
    <col min="120" max="120" width="13.85546875" style="23" bestFit="1" customWidth="1"/>
    <col min="121" max="121" width="9.5703125" style="23" customWidth="1"/>
    <col min="122" max="16384" width="9.140625" style="23"/>
  </cols>
  <sheetData>
    <row r="1" spans="1:121" x14ac:dyDescent="0.3">
      <c r="A1" s="1423" t="s">
        <v>353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  <c r="P1" s="1423"/>
      <c r="Q1" s="1423"/>
      <c r="R1" s="1423"/>
      <c r="S1" s="1423"/>
      <c r="T1" s="1423"/>
      <c r="U1" s="1423"/>
      <c r="V1" s="1423"/>
      <c r="W1" s="1423"/>
      <c r="X1" s="1423"/>
      <c r="Y1" s="1423"/>
      <c r="Z1" s="1423"/>
      <c r="AA1" s="1423"/>
      <c r="AB1" s="1423"/>
      <c r="AC1" s="1423"/>
      <c r="AD1" s="1423"/>
      <c r="AE1" s="1423"/>
      <c r="AF1" s="1423"/>
      <c r="AG1" s="1423"/>
      <c r="AH1" s="1423"/>
      <c r="AI1" s="1423"/>
      <c r="AJ1" s="1423"/>
      <c r="AK1" s="1423"/>
      <c r="AL1" s="1423"/>
      <c r="AM1" s="1423"/>
      <c r="AN1" s="1423"/>
      <c r="AO1" s="1423"/>
      <c r="AP1" s="1423"/>
      <c r="AQ1" s="1423"/>
      <c r="AR1" s="1423"/>
      <c r="AS1" s="1423"/>
      <c r="AT1" s="1423"/>
      <c r="AU1" s="1423"/>
      <c r="AV1" s="1423"/>
      <c r="AW1" s="1423"/>
      <c r="AX1" s="1423"/>
      <c r="AY1" s="1423"/>
      <c r="AZ1" s="1423"/>
      <c r="BA1" s="1423"/>
      <c r="BB1" s="1423"/>
      <c r="BC1" s="1423"/>
      <c r="BD1" s="1423"/>
      <c r="BE1" s="1423"/>
      <c r="BF1" s="1423"/>
      <c r="BG1" s="1423"/>
      <c r="BH1" s="1423"/>
      <c r="BI1" s="1423"/>
      <c r="BJ1" s="1423"/>
      <c r="BK1" s="1423"/>
      <c r="BL1" s="1423"/>
      <c r="BM1" s="1423"/>
      <c r="BN1" s="1423"/>
      <c r="BO1" s="1423"/>
      <c r="BP1" s="1423"/>
      <c r="BQ1" s="1423"/>
      <c r="BR1" s="1423"/>
      <c r="BS1" s="1423"/>
      <c r="BT1" s="1423"/>
      <c r="BU1" s="1423"/>
      <c r="BV1" s="1423"/>
      <c r="BW1" s="1423"/>
      <c r="BX1" s="1423"/>
      <c r="BY1" s="1423"/>
      <c r="BZ1" s="1423"/>
      <c r="CA1" s="1423"/>
      <c r="CB1" s="1423"/>
      <c r="CC1" s="1423"/>
      <c r="CD1" s="1423"/>
      <c r="CE1" s="1423"/>
      <c r="CF1" s="1423"/>
      <c r="CG1" s="1423"/>
      <c r="CH1" s="1423"/>
      <c r="CI1" s="1423"/>
      <c r="CJ1" s="1423"/>
      <c r="CK1" s="1423"/>
      <c r="CL1" s="1423"/>
      <c r="CM1" s="1423"/>
      <c r="CN1" s="1423"/>
      <c r="CO1" s="1423"/>
      <c r="CP1" s="1423"/>
      <c r="CQ1" s="1423"/>
      <c r="CR1" s="1423"/>
      <c r="CS1" s="1423"/>
      <c r="CT1" s="1423"/>
      <c r="CU1" s="1423"/>
      <c r="CV1" s="1423"/>
      <c r="CW1" s="1423"/>
      <c r="CX1" s="1423"/>
      <c r="CY1" s="1423"/>
      <c r="CZ1" s="1423"/>
      <c r="DA1" s="1423"/>
      <c r="DB1" s="1423"/>
      <c r="DC1" s="1423"/>
      <c r="DD1" s="1423"/>
      <c r="DE1" s="1423"/>
      <c r="DF1" s="1423"/>
      <c r="DG1" s="1423"/>
      <c r="DH1" s="1423"/>
      <c r="DI1" s="1423"/>
      <c r="DJ1" s="1423"/>
      <c r="DK1" s="1423"/>
      <c r="DL1" s="1423"/>
      <c r="DM1" s="1423"/>
      <c r="DN1" s="1423"/>
      <c r="DO1" s="1423"/>
      <c r="DP1" s="1423"/>
      <c r="DQ1" s="1423"/>
    </row>
    <row r="2" spans="1:121" ht="15" thickBot="1" x14ac:dyDescent="0.35">
      <c r="A2" s="1409"/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1409"/>
      <c r="R2" s="1409"/>
      <c r="S2" s="1409"/>
      <c r="T2" s="1409"/>
      <c r="U2" s="1409"/>
      <c r="V2" s="1409"/>
      <c r="W2" s="1409"/>
      <c r="X2" s="1409"/>
      <c r="Y2" s="1409"/>
      <c r="Z2" s="1409"/>
      <c r="AA2" s="1409"/>
      <c r="AB2" s="1409"/>
      <c r="AC2" s="1409"/>
      <c r="AD2" s="1409"/>
      <c r="AE2" s="1409"/>
      <c r="AF2" s="1409"/>
      <c r="AG2" s="1409"/>
      <c r="AH2" s="1409"/>
      <c r="AI2" s="1409"/>
      <c r="AJ2" s="1409"/>
      <c r="AK2" s="1409"/>
      <c r="AL2" s="1409"/>
      <c r="AM2" s="1409"/>
      <c r="AN2" s="1409"/>
      <c r="AO2" s="1409"/>
      <c r="AP2" s="1409"/>
      <c r="AQ2" s="1409"/>
      <c r="AR2" s="1409"/>
      <c r="AS2" s="1409"/>
      <c r="AT2" s="1409"/>
      <c r="AU2" s="1409"/>
      <c r="AV2" s="1409"/>
      <c r="AW2" s="1409"/>
      <c r="AX2" s="1409"/>
      <c r="AY2" s="1409"/>
      <c r="AZ2" s="1409"/>
      <c r="BA2" s="1409"/>
      <c r="BB2" s="1409"/>
      <c r="BC2" s="1409"/>
      <c r="BD2" s="1409"/>
      <c r="BE2" s="1409"/>
      <c r="BF2" s="1409"/>
      <c r="BG2" s="1409"/>
      <c r="BH2" s="1409"/>
      <c r="BI2" s="1409"/>
      <c r="BJ2" s="1409"/>
      <c r="BK2" s="1409"/>
      <c r="BL2" s="1409"/>
      <c r="BM2" s="1409"/>
      <c r="BN2" s="1409"/>
      <c r="BO2" s="1409"/>
      <c r="BP2" s="1409"/>
      <c r="BQ2" s="1409"/>
      <c r="BR2" s="1409"/>
      <c r="BS2" s="1409"/>
      <c r="BT2" s="1409"/>
      <c r="BU2" s="1409"/>
      <c r="BV2" s="1409"/>
      <c r="BW2" s="1409"/>
      <c r="BX2" s="1409"/>
      <c r="BY2" s="1409"/>
      <c r="BZ2" s="1409"/>
      <c r="CA2" s="1409"/>
      <c r="CB2" s="1409"/>
      <c r="CC2" s="1409"/>
      <c r="CD2" s="1409"/>
      <c r="CE2" s="1409"/>
      <c r="CF2" s="1409"/>
      <c r="CG2" s="1409"/>
      <c r="CH2" s="1409"/>
      <c r="CI2" s="1409"/>
      <c r="CJ2" s="1409"/>
      <c r="CK2" s="1409"/>
      <c r="CL2" s="1409"/>
      <c r="CM2" s="1409"/>
      <c r="CN2" s="1409"/>
      <c r="CO2" s="1409"/>
      <c r="CP2" s="1409"/>
      <c r="CQ2" s="1409"/>
      <c r="CR2" s="1409"/>
      <c r="CS2" s="1409"/>
      <c r="CT2" s="1409"/>
      <c r="CU2" s="1409"/>
      <c r="CV2" s="1409"/>
      <c r="CW2" s="1409"/>
      <c r="CX2" s="1409"/>
      <c r="CY2" s="1409"/>
      <c r="CZ2" s="1409"/>
      <c r="DA2" s="1409"/>
      <c r="DB2" s="1409"/>
      <c r="DC2" s="1409"/>
      <c r="DD2" s="1409"/>
      <c r="DE2" s="1409"/>
      <c r="DF2" s="1409"/>
      <c r="DG2" s="1409"/>
      <c r="DH2" s="1409"/>
      <c r="DI2" s="1409"/>
      <c r="DJ2" s="1409"/>
      <c r="DK2" s="1409"/>
      <c r="DL2" s="1409"/>
      <c r="DM2" s="1409"/>
      <c r="DN2" s="1409"/>
      <c r="DO2" s="1409"/>
      <c r="DP2" s="1409"/>
      <c r="DQ2" s="1409"/>
    </row>
    <row r="3" spans="1:121" ht="22.5" customHeight="1" thickBot="1" x14ac:dyDescent="0.35">
      <c r="A3" s="1427" t="s">
        <v>1</v>
      </c>
      <c r="B3" s="1429" t="s">
        <v>325</v>
      </c>
      <c r="C3" s="1430"/>
      <c r="D3" s="1430"/>
      <c r="E3" s="1430"/>
      <c r="F3" s="1431"/>
      <c r="G3" s="1432" t="s">
        <v>259</v>
      </c>
      <c r="H3" s="1421"/>
      <c r="I3" s="1421"/>
      <c r="J3" s="1421"/>
      <c r="K3" s="1422"/>
      <c r="L3" s="1433" t="s">
        <v>260</v>
      </c>
      <c r="M3" s="1434"/>
      <c r="N3" s="1434"/>
      <c r="O3" s="1434"/>
      <c r="P3" s="1435"/>
      <c r="Q3" s="1433" t="s">
        <v>324</v>
      </c>
      <c r="R3" s="1434"/>
      <c r="S3" s="1434"/>
      <c r="T3" s="1434"/>
      <c r="U3" s="1435"/>
      <c r="V3" s="1436" t="s">
        <v>323</v>
      </c>
      <c r="W3" s="1437"/>
      <c r="X3" s="1437"/>
      <c r="Y3" s="1437"/>
      <c r="Z3" s="1438"/>
      <c r="AA3" s="1433" t="s">
        <v>322</v>
      </c>
      <c r="AB3" s="1434"/>
      <c r="AC3" s="1434"/>
      <c r="AD3" s="1434"/>
      <c r="AE3" s="1435"/>
      <c r="AF3" s="1433" t="s">
        <v>321</v>
      </c>
      <c r="AG3" s="1434"/>
      <c r="AH3" s="1434"/>
      <c r="AI3" s="1434"/>
      <c r="AJ3" s="1435"/>
      <c r="AK3" s="1433" t="s">
        <v>354</v>
      </c>
      <c r="AL3" s="1434"/>
      <c r="AM3" s="1434"/>
      <c r="AN3" s="1434"/>
      <c r="AO3" s="1435"/>
      <c r="AP3" s="1433" t="s">
        <v>320</v>
      </c>
      <c r="AQ3" s="1434"/>
      <c r="AR3" s="1434"/>
      <c r="AS3" s="1434"/>
      <c r="AT3" s="1435"/>
      <c r="AU3" s="1439" t="s">
        <v>319</v>
      </c>
      <c r="AV3" s="1425"/>
      <c r="AW3" s="1425"/>
      <c r="AX3" s="1425"/>
      <c r="AY3" s="1426"/>
      <c r="AZ3" s="1424" t="s">
        <v>318</v>
      </c>
      <c r="BA3" s="1425"/>
      <c r="BB3" s="1425"/>
      <c r="BC3" s="1425"/>
      <c r="BD3" s="1426"/>
      <c r="BE3" s="1440" t="s">
        <v>317</v>
      </c>
      <c r="BF3" s="1441"/>
      <c r="BG3" s="1441"/>
      <c r="BH3" s="1441"/>
      <c r="BI3" s="1442"/>
      <c r="BJ3" s="1440" t="s">
        <v>293</v>
      </c>
      <c r="BK3" s="1441"/>
      <c r="BL3" s="1441"/>
      <c r="BM3" s="1441"/>
      <c r="BN3" s="1442"/>
      <c r="BO3" s="1439" t="s">
        <v>316</v>
      </c>
      <c r="BP3" s="1425"/>
      <c r="BQ3" s="1425"/>
      <c r="BR3" s="1425"/>
      <c r="BS3" s="1426"/>
      <c r="BT3" s="1443" t="s">
        <v>315</v>
      </c>
      <c r="BU3" s="1444"/>
      <c r="BV3" s="1444"/>
      <c r="BW3" s="1444"/>
      <c r="BX3" s="1445"/>
      <c r="BY3" s="1424" t="s">
        <v>314</v>
      </c>
      <c r="BZ3" s="1425"/>
      <c r="CA3" s="1425"/>
      <c r="CB3" s="1425"/>
      <c r="CC3" s="1426"/>
      <c r="CD3" s="1424" t="s">
        <v>313</v>
      </c>
      <c r="CE3" s="1425"/>
      <c r="CF3" s="1425"/>
      <c r="CG3" s="1425"/>
      <c r="CH3" s="1426"/>
      <c r="CI3" s="1439" t="s">
        <v>312</v>
      </c>
      <c r="CJ3" s="1425"/>
      <c r="CK3" s="1425"/>
      <c r="CL3" s="1425"/>
      <c r="CM3" s="1426"/>
      <c r="CN3" s="1443" t="s">
        <v>276</v>
      </c>
      <c r="CO3" s="1444"/>
      <c r="CP3" s="1444"/>
      <c r="CQ3" s="1444"/>
      <c r="CR3" s="1445"/>
      <c r="CS3" s="1421" t="s">
        <v>309</v>
      </c>
      <c r="CT3" s="1421"/>
      <c r="CU3" s="1421"/>
      <c r="CV3" s="1421"/>
      <c r="CW3" s="1422"/>
      <c r="CX3" s="1433" t="s">
        <v>310</v>
      </c>
      <c r="CY3" s="1434"/>
      <c r="CZ3" s="1434"/>
      <c r="DA3" s="1434"/>
      <c r="DB3" s="1435"/>
      <c r="DC3" s="1433" t="s">
        <v>311</v>
      </c>
      <c r="DD3" s="1434"/>
      <c r="DE3" s="1434"/>
      <c r="DF3" s="1434"/>
      <c r="DG3" s="1435"/>
      <c r="DH3" s="1434" t="s">
        <v>280</v>
      </c>
      <c r="DI3" s="1434"/>
      <c r="DJ3" s="1434"/>
      <c r="DK3" s="1434"/>
      <c r="DL3" s="1435"/>
      <c r="DM3" s="1446" t="s">
        <v>281</v>
      </c>
      <c r="DN3" s="1447"/>
      <c r="DO3" s="1447"/>
      <c r="DP3" s="1447"/>
      <c r="DQ3" s="1448"/>
    </row>
    <row r="4" spans="1:121" ht="15" thickBot="1" x14ac:dyDescent="0.35">
      <c r="A4" s="1428"/>
      <c r="B4" s="1306" t="s">
        <v>284</v>
      </c>
      <c r="C4" s="1307" t="s">
        <v>222</v>
      </c>
      <c r="D4" s="1307" t="s">
        <v>285</v>
      </c>
      <c r="E4" s="1307" t="s">
        <v>286</v>
      </c>
      <c r="F4" s="1308" t="s">
        <v>287</v>
      </c>
      <c r="G4" s="1312" t="s">
        <v>284</v>
      </c>
      <c r="H4" s="1002" t="s">
        <v>222</v>
      </c>
      <c r="I4" s="1002" t="s">
        <v>285</v>
      </c>
      <c r="J4" s="1002" t="s">
        <v>286</v>
      </c>
      <c r="K4" s="1003" t="s">
        <v>287</v>
      </c>
      <c r="L4" s="131" t="s">
        <v>284</v>
      </c>
      <c r="M4" s="132" t="s">
        <v>222</v>
      </c>
      <c r="N4" s="132" t="s">
        <v>285</v>
      </c>
      <c r="O4" s="132" t="s">
        <v>286</v>
      </c>
      <c r="P4" s="133" t="s">
        <v>287</v>
      </c>
      <c r="Q4" s="131" t="s">
        <v>284</v>
      </c>
      <c r="R4" s="132" t="s">
        <v>222</v>
      </c>
      <c r="S4" s="132" t="s">
        <v>285</v>
      </c>
      <c r="T4" s="132" t="s">
        <v>286</v>
      </c>
      <c r="U4" s="133" t="s">
        <v>287</v>
      </c>
      <c r="V4" s="131" t="s">
        <v>284</v>
      </c>
      <c r="W4" s="132" t="s">
        <v>222</v>
      </c>
      <c r="X4" s="132" t="s">
        <v>285</v>
      </c>
      <c r="Y4" s="132" t="s">
        <v>286</v>
      </c>
      <c r="Z4" s="133" t="s">
        <v>287</v>
      </c>
      <c r="AA4" s="131" t="s">
        <v>284</v>
      </c>
      <c r="AB4" s="132" t="s">
        <v>222</v>
      </c>
      <c r="AC4" s="132" t="s">
        <v>285</v>
      </c>
      <c r="AD4" s="132" t="s">
        <v>286</v>
      </c>
      <c r="AE4" s="133" t="s">
        <v>287</v>
      </c>
      <c r="AF4" s="131" t="s">
        <v>284</v>
      </c>
      <c r="AG4" s="132" t="s">
        <v>222</v>
      </c>
      <c r="AH4" s="132" t="s">
        <v>285</v>
      </c>
      <c r="AI4" s="132" t="s">
        <v>286</v>
      </c>
      <c r="AJ4" s="133" t="s">
        <v>287</v>
      </c>
      <c r="AK4" s="131" t="s">
        <v>284</v>
      </c>
      <c r="AL4" s="132" t="s">
        <v>222</v>
      </c>
      <c r="AM4" s="132" t="s">
        <v>285</v>
      </c>
      <c r="AN4" s="132" t="s">
        <v>286</v>
      </c>
      <c r="AO4" s="133" t="s">
        <v>287</v>
      </c>
      <c r="AP4" s="131" t="s">
        <v>284</v>
      </c>
      <c r="AQ4" s="132" t="s">
        <v>222</v>
      </c>
      <c r="AR4" s="132" t="s">
        <v>285</v>
      </c>
      <c r="AS4" s="132" t="s">
        <v>286</v>
      </c>
      <c r="AT4" s="133" t="s">
        <v>287</v>
      </c>
      <c r="AU4" s="131" t="s">
        <v>284</v>
      </c>
      <c r="AV4" s="132" t="s">
        <v>222</v>
      </c>
      <c r="AW4" s="132" t="s">
        <v>285</v>
      </c>
      <c r="AX4" s="132" t="s">
        <v>286</v>
      </c>
      <c r="AY4" s="133" t="s">
        <v>287</v>
      </c>
      <c r="AZ4" s="132" t="s">
        <v>284</v>
      </c>
      <c r="BA4" s="132" t="s">
        <v>222</v>
      </c>
      <c r="BB4" s="132" t="s">
        <v>285</v>
      </c>
      <c r="BC4" s="132" t="s">
        <v>286</v>
      </c>
      <c r="BD4" s="133" t="s">
        <v>287</v>
      </c>
      <c r="BE4" s="131" t="s">
        <v>284</v>
      </c>
      <c r="BF4" s="132" t="s">
        <v>222</v>
      </c>
      <c r="BG4" s="132" t="s">
        <v>285</v>
      </c>
      <c r="BH4" s="132" t="s">
        <v>286</v>
      </c>
      <c r="BI4" s="133" t="s">
        <v>287</v>
      </c>
      <c r="BJ4" s="131" t="s">
        <v>284</v>
      </c>
      <c r="BK4" s="132" t="s">
        <v>222</v>
      </c>
      <c r="BL4" s="132" t="s">
        <v>285</v>
      </c>
      <c r="BM4" s="132" t="s">
        <v>286</v>
      </c>
      <c r="BN4" s="133" t="s">
        <v>287</v>
      </c>
      <c r="BO4" s="131" t="s">
        <v>284</v>
      </c>
      <c r="BP4" s="132" t="s">
        <v>222</v>
      </c>
      <c r="BQ4" s="132" t="s">
        <v>285</v>
      </c>
      <c r="BR4" s="132" t="s">
        <v>286</v>
      </c>
      <c r="BS4" s="133" t="s">
        <v>287</v>
      </c>
      <c r="BT4" s="132" t="s">
        <v>284</v>
      </c>
      <c r="BU4" s="132" t="s">
        <v>222</v>
      </c>
      <c r="BV4" s="132" t="s">
        <v>285</v>
      </c>
      <c r="BW4" s="132" t="s">
        <v>286</v>
      </c>
      <c r="BX4" s="133" t="s">
        <v>287</v>
      </c>
      <c r="BY4" s="132" t="s">
        <v>284</v>
      </c>
      <c r="BZ4" s="132" t="s">
        <v>222</v>
      </c>
      <c r="CA4" s="132" t="s">
        <v>285</v>
      </c>
      <c r="CB4" s="132" t="s">
        <v>286</v>
      </c>
      <c r="CC4" s="133" t="s">
        <v>287</v>
      </c>
      <c r="CD4" s="132" t="s">
        <v>284</v>
      </c>
      <c r="CE4" s="132" t="s">
        <v>222</v>
      </c>
      <c r="CF4" s="132" t="s">
        <v>285</v>
      </c>
      <c r="CG4" s="132" t="s">
        <v>286</v>
      </c>
      <c r="CH4" s="133" t="s">
        <v>287</v>
      </c>
      <c r="CI4" s="131" t="s">
        <v>284</v>
      </c>
      <c r="CJ4" s="132" t="s">
        <v>222</v>
      </c>
      <c r="CK4" s="132" t="s">
        <v>285</v>
      </c>
      <c r="CL4" s="132" t="s">
        <v>286</v>
      </c>
      <c r="CM4" s="133" t="s">
        <v>287</v>
      </c>
      <c r="CN4" s="131" t="s">
        <v>284</v>
      </c>
      <c r="CO4" s="132" t="s">
        <v>222</v>
      </c>
      <c r="CP4" s="132" t="s">
        <v>285</v>
      </c>
      <c r="CQ4" s="132" t="s">
        <v>286</v>
      </c>
      <c r="CR4" s="133" t="s">
        <v>287</v>
      </c>
      <c r="CS4" s="131" t="s">
        <v>284</v>
      </c>
      <c r="CT4" s="132" t="s">
        <v>222</v>
      </c>
      <c r="CU4" s="132" t="s">
        <v>285</v>
      </c>
      <c r="CV4" s="132" t="s">
        <v>286</v>
      </c>
      <c r="CW4" s="133" t="s">
        <v>287</v>
      </c>
      <c r="CX4" s="131" t="s">
        <v>284</v>
      </c>
      <c r="CY4" s="132" t="s">
        <v>222</v>
      </c>
      <c r="CZ4" s="132" t="s">
        <v>285</v>
      </c>
      <c r="DA4" s="132" t="s">
        <v>286</v>
      </c>
      <c r="DB4" s="133" t="s">
        <v>287</v>
      </c>
      <c r="DC4" s="131" t="s">
        <v>284</v>
      </c>
      <c r="DD4" s="132" t="s">
        <v>222</v>
      </c>
      <c r="DE4" s="132" t="s">
        <v>285</v>
      </c>
      <c r="DF4" s="132" t="s">
        <v>286</v>
      </c>
      <c r="DG4" s="133" t="s">
        <v>287</v>
      </c>
      <c r="DH4" s="131" t="s">
        <v>284</v>
      </c>
      <c r="DI4" s="132" t="s">
        <v>222</v>
      </c>
      <c r="DJ4" s="132" t="s">
        <v>285</v>
      </c>
      <c r="DK4" s="132" t="s">
        <v>286</v>
      </c>
      <c r="DL4" s="133" t="s">
        <v>287</v>
      </c>
      <c r="DM4" s="131" t="s">
        <v>284</v>
      </c>
      <c r="DN4" s="132" t="s">
        <v>222</v>
      </c>
      <c r="DO4" s="132" t="s">
        <v>285</v>
      </c>
      <c r="DP4" s="132" t="s">
        <v>286</v>
      </c>
      <c r="DQ4" s="133" t="s">
        <v>287</v>
      </c>
    </row>
    <row r="5" spans="1:121" x14ac:dyDescent="0.3">
      <c r="A5" s="1324" t="s">
        <v>288</v>
      </c>
      <c r="B5" s="1322">
        <v>3414.684409</v>
      </c>
      <c r="C5" s="1309">
        <v>28.902266000000001</v>
      </c>
      <c r="D5" s="1309">
        <v>0</v>
      </c>
      <c r="E5" s="1309">
        <v>6325.8164749999996</v>
      </c>
      <c r="F5" s="1310">
        <f>SUM(B5:E5)</f>
        <v>9769.4031500000001</v>
      </c>
      <c r="G5" s="1313"/>
      <c r="H5" s="1314"/>
      <c r="I5" s="1314"/>
      <c r="J5" s="1314"/>
      <c r="K5" s="1315">
        <f>SUM(G5:J5)</f>
        <v>0</v>
      </c>
      <c r="L5" s="1302">
        <v>954.22</v>
      </c>
      <c r="M5" s="1294">
        <v>0</v>
      </c>
      <c r="N5" s="1294">
        <v>141.26</v>
      </c>
      <c r="O5" s="1294">
        <v>3903.44</v>
      </c>
      <c r="P5" s="1295">
        <f>SUM(L5:O5)</f>
        <v>4998.92</v>
      </c>
      <c r="Q5" s="1293">
        <v>6435.95</v>
      </c>
      <c r="R5" s="1294">
        <v>20.83</v>
      </c>
      <c r="S5" s="1294">
        <v>1643.24</v>
      </c>
      <c r="T5" s="1294">
        <v>17541.009999999998</v>
      </c>
      <c r="U5" s="1295">
        <f>SUM(Q5:T5)</f>
        <v>25641.03</v>
      </c>
      <c r="V5" s="1293">
        <v>1192.28</v>
      </c>
      <c r="W5" s="1294"/>
      <c r="X5" s="1294">
        <v>59.19</v>
      </c>
      <c r="Y5" s="1294">
        <v>2538.19</v>
      </c>
      <c r="Z5" s="1295">
        <f>SUM(V5:Y5)</f>
        <v>3789.66</v>
      </c>
      <c r="AA5" s="1293">
        <v>1217.6099999999999</v>
      </c>
      <c r="AB5" s="1294"/>
      <c r="AC5" s="1294">
        <v>81.06</v>
      </c>
      <c r="AD5" s="1294">
        <v>2226.54</v>
      </c>
      <c r="AE5" s="1295">
        <f>SUM(AA5:AD5)</f>
        <v>3525.21</v>
      </c>
      <c r="AF5" s="1290">
        <v>846.17989999999998</v>
      </c>
      <c r="AG5" s="1291"/>
      <c r="AH5" s="1291">
        <v>0.65</v>
      </c>
      <c r="AI5" s="1291">
        <v>1598.7</v>
      </c>
      <c r="AJ5" s="1292">
        <f>SUM(AF5:AI5)</f>
        <v>2445.5299</v>
      </c>
      <c r="AK5" s="1293">
        <v>40744</v>
      </c>
      <c r="AL5" s="1294"/>
      <c r="AM5" s="1294">
        <v>34209</v>
      </c>
      <c r="AN5" s="1294">
        <v>115695</v>
      </c>
      <c r="AO5" s="1295">
        <f>SUM(AK5:AN5)</f>
        <v>190648</v>
      </c>
      <c r="AP5" s="1293">
        <v>2099.61</v>
      </c>
      <c r="AQ5" s="1294">
        <v>341.56</v>
      </c>
      <c r="AR5" s="1294">
        <v>6528.81</v>
      </c>
      <c r="AS5" s="1294">
        <v>651.63</v>
      </c>
      <c r="AT5" s="1301">
        <f>SUM(AP5:AS5)</f>
        <v>9621.6099999999988</v>
      </c>
      <c r="AU5" s="1293">
        <v>580.05999999999995</v>
      </c>
      <c r="AV5" s="1294"/>
      <c r="AW5" s="1294">
        <v>147.09</v>
      </c>
      <c r="AX5" s="1294">
        <v>1500.55</v>
      </c>
      <c r="AY5" s="1294">
        <f>SUM(AU5:AX5)</f>
        <v>2227.6999999999998</v>
      </c>
      <c r="AZ5" s="1294">
        <v>8835.99</v>
      </c>
      <c r="BA5" s="1294"/>
      <c r="BB5" s="1294">
        <v>1016.95</v>
      </c>
      <c r="BC5" s="1294">
        <v>26556.1</v>
      </c>
      <c r="BD5" s="1301">
        <f>SUM(AZ5:BC5)</f>
        <v>36409.040000000001</v>
      </c>
      <c r="BE5" s="1290">
        <v>7987.7367000000004</v>
      </c>
      <c r="BF5" s="1291">
        <v>229.63990000000001</v>
      </c>
      <c r="BG5" s="1291">
        <v>2218.2296000000001</v>
      </c>
      <c r="BH5" s="1291">
        <v>28921.744999999999</v>
      </c>
      <c r="BI5" s="1292">
        <f>SUM(BE5:BH5)</f>
        <v>39357.351199999997</v>
      </c>
      <c r="BJ5" s="1293">
        <v>150336.94</v>
      </c>
      <c r="BK5" s="1294">
        <v>325.02999999999997</v>
      </c>
      <c r="BL5" s="1294">
        <v>46735.83</v>
      </c>
      <c r="BM5" s="1294">
        <v>338146.85</v>
      </c>
      <c r="BN5" s="1295">
        <f>SUM(BJ5:BM5)</f>
        <v>535544.64999999991</v>
      </c>
      <c r="BO5" s="1293"/>
      <c r="BP5" s="1294"/>
      <c r="BQ5" s="1294"/>
      <c r="BR5" s="1294"/>
      <c r="BS5" s="1292">
        <v>2102.8566000000001</v>
      </c>
      <c r="BT5" s="1302">
        <v>2255.4</v>
      </c>
      <c r="BU5" s="1294">
        <v>57.43</v>
      </c>
      <c r="BV5" s="1294">
        <v>141.4</v>
      </c>
      <c r="BW5" s="1294">
        <v>11416.91</v>
      </c>
      <c r="BX5" s="1294">
        <f>SUM(BT5:BW5)</f>
        <v>13871.14</v>
      </c>
      <c r="BY5" s="1294">
        <v>8450</v>
      </c>
      <c r="BZ5" s="1294"/>
      <c r="CA5" s="1294">
        <v>255</v>
      </c>
      <c r="CB5" s="1294">
        <v>29999</v>
      </c>
      <c r="CC5" s="1294">
        <f>SUM(BY5:CB5)</f>
        <v>38704</v>
      </c>
      <c r="CD5" s="1294">
        <v>5420.1296000000002</v>
      </c>
      <c r="CE5" s="1294"/>
      <c r="CF5" s="1294"/>
      <c r="CG5" s="1294">
        <v>7239.16</v>
      </c>
      <c r="CH5" s="1301">
        <f>SUM(CD5:CG5)</f>
        <v>12659.2896</v>
      </c>
      <c r="CI5" s="1290">
        <v>3034.0585999999998</v>
      </c>
      <c r="CJ5" s="1291"/>
      <c r="CK5" s="1291">
        <v>156.33500000000001</v>
      </c>
      <c r="CL5" s="1291">
        <v>9896.0953000000009</v>
      </c>
      <c r="CM5" s="1292">
        <f>SUM(CI5:CL5)</f>
        <v>13086.4889</v>
      </c>
      <c r="CN5" s="1302"/>
      <c r="CO5" s="1294"/>
      <c r="CP5" s="1294"/>
      <c r="CQ5" s="1294"/>
      <c r="CR5" s="1295">
        <f>SUM(CN5:CQ5)</f>
        <v>0</v>
      </c>
      <c r="CS5" s="1303">
        <v>10788.6803</v>
      </c>
      <c r="CT5" s="1304">
        <v>171.7688</v>
      </c>
      <c r="CU5" s="1304">
        <v>2732.9286000000002</v>
      </c>
      <c r="CV5" s="1304">
        <v>25379.5452</v>
      </c>
      <c r="CW5" s="1305">
        <v>39072.923000000003</v>
      </c>
      <c r="CX5" s="1293">
        <v>840.34</v>
      </c>
      <c r="CY5" s="1294"/>
      <c r="CZ5" s="1294">
        <v>51.71</v>
      </c>
      <c r="DA5" s="1294">
        <v>2022.15</v>
      </c>
      <c r="DB5" s="1295">
        <f>SUM(CX5:DA5)</f>
        <v>2914.2000000000003</v>
      </c>
      <c r="DC5" s="1302">
        <v>859</v>
      </c>
      <c r="DD5" s="1294"/>
      <c r="DE5" s="1294">
        <v>210.7</v>
      </c>
      <c r="DF5" s="1294">
        <v>2679.7</v>
      </c>
      <c r="DG5" s="1295">
        <f>SUM(DC5:DF5)</f>
        <v>3749.3999999999996</v>
      </c>
      <c r="DH5" s="1302"/>
      <c r="DI5" s="1294"/>
      <c r="DJ5" s="1294"/>
      <c r="DK5" s="1294"/>
      <c r="DL5" s="1295">
        <f>SUM(DH5:DK5)</f>
        <v>0</v>
      </c>
      <c r="DM5" s="1293"/>
      <c r="DN5" s="1294"/>
      <c r="DO5" s="1294"/>
      <c r="DP5" s="1294"/>
      <c r="DQ5" s="1301">
        <f>SUM(DM5:DP5)</f>
        <v>0</v>
      </c>
    </row>
    <row r="6" spans="1:121" x14ac:dyDescent="0.3">
      <c r="A6" s="1325" t="s">
        <v>289</v>
      </c>
      <c r="B6" s="944"/>
      <c r="C6" s="214"/>
      <c r="D6" s="214"/>
      <c r="E6" s="214"/>
      <c r="F6" s="215"/>
      <c r="G6" s="7"/>
      <c r="H6" s="8"/>
      <c r="I6" s="8"/>
      <c r="J6" s="8"/>
      <c r="K6" s="9"/>
      <c r="L6" s="46"/>
      <c r="M6" s="8"/>
      <c r="N6" s="8"/>
      <c r="O6" s="8"/>
      <c r="P6" s="9"/>
      <c r="Q6" s="7"/>
      <c r="R6" s="8"/>
      <c r="S6" s="8"/>
      <c r="T6" s="8"/>
      <c r="U6" s="9"/>
      <c r="V6" s="7"/>
      <c r="W6" s="8"/>
      <c r="X6" s="8"/>
      <c r="Y6" s="8"/>
      <c r="Z6" s="9"/>
      <c r="AA6" s="7"/>
      <c r="AB6" s="8"/>
      <c r="AC6" s="8"/>
      <c r="AD6" s="8"/>
      <c r="AE6" s="9"/>
      <c r="AF6" s="7">
        <v>36.825000000000003</v>
      </c>
      <c r="AG6" s="8"/>
      <c r="AH6" s="8"/>
      <c r="AI6" s="8"/>
      <c r="AJ6" s="276">
        <f t="shared" ref="AJ6:AJ14" si="0">SUM(AF6:AI6)</f>
        <v>36.825000000000003</v>
      </c>
      <c r="AK6" s="7"/>
      <c r="AL6" s="8"/>
      <c r="AM6" s="8"/>
      <c r="AN6" s="8"/>
      <c r="AO6" s="9"/>
      <c r="AP6" s="7"/>
      <c r="AQ6" s="8"/>
      <c r="AR6" s="8"/>
      <c r="AS6" s="8"/>
      <c r="AT6" s="831"/>
      <c r="AU6" s="7"/>
      <c r="AV6" s="8"/>
      <c r="AW6" s="8"/>
      <c r="AX6" s="8"/>
      <c r="AY6" s="8"/>
      <c r="AZ6" s="8"/>
      <c r="BA6" s="8"/>
      <c r="BB6" s="8"/>
      <c r="BC6" s="8"/>
      <c r="BD6" s="831"/>
      <c r="BE6" s="7"/>
      <c r="BF6" s="8"/>
      <c r="BG6" s="8"/>
      <c r="BH6" s="8"/>
      <c r="BI6" s="9"/>
      <c r="BJ6" s="832">
        <v>2000</v>
      </c>
      <c r="BK6" s="10"/>
      <c r="BL6" s="10"/>
      <c r="BM6" s="10"/>
      <c r="BN6" s="6">
        <f t="shared" ref="BN6:BN11" si="1">SUM(BJ6:BM6)</f>
        <v>2000</v>
      </c>
      <c r="BO6" s="7"/>
      <c r="BP6" s="8"/>
      <c r="BQ6" s="8"/>
      <c r="BR6" s="8"/>
      <c r="BS6" s="9"/>
      <c r="BT6" s="46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31"/>
      <c r="CI6" s="7"/>
      <c r="CJ6" s="8"/>
      <c r="CK6" s="8"/>
      <c r="CL6" s="8"/>
      <c r="CM6" s="9"/>
      <c r="CN6" s="53"/>
      <c r="CO6" s="8"/>
      <c r="CP6" s="8"/>
      <c r="CQ6" s="8"/>
      <c r="CR6" s="9"/>
      <c r="CS6" s="46"/>
      <c r="CT6" s="8"/>
      <c r="CU6" s="1265"/>
      <c r="CV6" s="1265"/>
      <c r="CW6" s="1266"/>
      <c r="CX6" s="1267"/>
      <c r="CY6" s="835"/>
      <c r="CZ6" s="835"/>
      <c r="DA6" s="835"/>
      <c r="DB6" s="1126"/>
      <c r="DC6" s="1124"/>
      <c r="DD6" s="836"/>
      <c r="DE6" s="836"/>
      <c r="DF6" s="836"/>
      <c r="DG6" s="1129"/>
      <c r="DH6" s="46"/>
      <c r="DI6" s="8"/>
      <c r="DJ6" s="8"/>
      <c r="DK6" s="8"/>
      <c r="DL6" s="6">
        <f t="shared" ref="DL6:DL14" si="2">SUM(DH6:DK6)</f>
        <v>0</v>
      </c>
      <c r="DM6" s="1268"/>
      <c r="DN6" s="836"/>
      <c r="DO6" s="836"/>
      <c r="DP6" s="836"/>
      <c r="DQ6" s="1269"/>
    </row>
    <row r="7" spans="1:121" x14ac:dyDescent="0.3">
      <c r="A7" s="1325" t="s">
        <v>326</v>
      </c>
      <c r="B7" s="944"/>
      <c r="C7" s="214"/>
      <c r="D7" s="214"/>
      <c r="E7" s="214"/>
      <c r="F7" s="215"/>
      <c r="G7" s="7"/>
      <c r="H7" s="8"/>
      <c r="I7" s="8"/>
      <c r="J7" s="8"/>
      <c r="K7" s="9"/>
      <c r="L7" s="46"/>
      <c r="M7" s="8"/>
      <c r="N7" s="8"/>
      <c r="O7" s="8"/>
      <c r="P7" s="9"/>
      <c r="Q7" s="7"/>
      <c r="R7" s="8"/>
      <c r="S7" s="8"/>
      <c r="T7" s="8"/>
      <c r="U7" s="9"/>
      <c r="V7" s="7"/>
      <c r="W7" s="8"/>
      <c r="X7" s="8"/>
      <c r="Y7" s="8"/>
      <c r="Z7" s="9"/>
      <c r="AA7" s="7"/>
      <c r="AB7" s="8"/>
      <c r="AC7" s="8"/>
      <c r="AD7" s="8"/>
      <c r="AE7" s="9"/>
      <c r="AF7" s="1270">
        <v>4.3499999999999997E-2</v>
      </c>
      <c r="AG7" s="1271"/>
      <c r="AH7" s="1271"/>
      <c r="AI7" s="1271"/>
      <c r="AJ7" s="1272">
        <v>1.5100000000000001E-2</v>
      </c>
      <c r="AK7" s="7"/>
      <c r="AL7" s="8"/>
      <c r="AM7" s="8"/>
      <c r="AN7" s="8"/>
      <c r="AO7" s="9"/>
      <c r="AP7" s="7"/>
      <c r="AQ7" s="8"/>
      <c r="AR7" s="8"/>
      <c r="AS7" s="8"/>
      <c r="AT7" s="831"/>
      <c r="AU7" s="7"/>
      <c r="AV7" s="8"/>
      <c r="AW7" s="8"/>
      <c r="AX7" s="8"/>
      <c r="AY7" s="8"/>
      <c r="AZ7" s="8"/>
      <c r="BA7" s="8"/>
      <c r="BB7" s="8"/>
      <c r="BC7" s="8"/>
      <c r="BD7" s="831"/>
      <c r="BE7" s="7"/>
      <c r="BF7" s="8"/>
      <c r="BG7" s="8"/>
      <c r="BH7" s="8"/>
      <c r="BI7" s="9"/>
      <c r="BJ7" s="1273">
        <v>1.3299999999999999E-2</v>
      </c>
      <c r="BK7" s="1274"/>
      <c r="BL7" s="1274"/>
      <c r="BM7" s="1274"/>
      <c r="BN7" s="1275">
        <v>1.3299999999999999E-2</v>
      </c>
      <c r="BO7" s="7"/>
      <c r="BP7" s="8"/>
      <c r="BQ7" s="8"/>
      <c r="BR7" s="8"/>
      <c r="BS7" s="9"/>
      <c r="BT7" s="46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31"/>
      <c r="CI7" s="7"/>
      <c r="CJ7" s="8"/>
      <c r="CK7" s="8"/>
      <c r="CL7" s="8"/>
      <c r="CM7" s="9"/>
      <c r="CN7" s="53"/>
      <c r="CO7" s="8"/>
      <c r="CP7" s="8"/>
      <c r="CQ7" s="8"/>
      <c r="CR7" s="9"/>
      <c r="CS7" s="46"/>
      <c r="CT7" s="8"/>
      <c r="CU7" s="1265"/>
      <c r="CV7" s="1265"/>
      <c r="CW7" s="1266"/>
      <c r="CX7" s="1267"/>
      <c r="CY7" s="835"/>
      <c r="CZ7" s="835"/>
      <c r="DA7" s="835"/>
      <c r="DB7" s="1126"/>
      <c r="DC7" s="1124"/>
      <c r="DD7" s="836"/>
      <c r="DE7" s="836"/>
      <c r="DF7" s="836"/>
      <c r="DG7" s="1129"/>
      <c r="DH7" s="46"/>
      <c r="DI7" s="8"/>
      <c r="DJ7" s="8"/>
      <c r="DK7" s="8"/>
      <c r="DL7" s="6">
        <f t="shared" si="2"/>
        <v>0</v>
      </c>
      <c r="DM7" s="1268"/>
      <c r="DN7" s="836"/>
      <c r="DO7" s="836"/>
      <c r="DP7" s="836"/>
      <c r="DQ7" s="1269"/>
    </row>
    <row r="8" spans="1:121" x14ac:dyDescent="0.3">
      <c r="A8" s="1325" t="s">
        <v>290</v>
      </c>
      <c r="B8" s="944"/>
      <c r="C8" s="214"/>
      <c r="D8" s="214"/>
      <c r="E8" s="214"/>
      <c r="F8" s="215"/>
      <c r="G8" s="7"/>
      <c r="H8" s="8"/>
      <c r="I8" s="8"/>
      <c r="J8" s="8"/>
      <c r="K8" s="9"/>
      <c r="L8" s="46"/>
      <c r="M8" s="8"/>
      <c r="N8" s="8"/>
      <c r="O8" s="8"/>
      <c r="P8" s="9"/>
      <c r="Q8" s="7"/>
      <c r="R8" s="8"/>
      <c r="S8" s="8"/>
      <c r="T8" s="8"/>
      <c r="U8" s="9"/>
      <c r="V8" s="7"/>
      <c r="W8" s="8"/>
      <c r="X8" s="8"/>
      <c r="Y8" s="8"/>
      <c r="Z8" s="9"/>
      <c r="AA8" s="7"/>
      <c r="AB8" s="8"/>
      <c r="AC8" s="8"/>
      <c r="AD8" s="8"/>
      <c r="AE8" s="9"/>
      <c r="AF8" s="7"/>
      <c r="AG8" s="8"/>
      <c r="AH8" s="8"/>
      <c r="AI8" s="8"/>
      <c r="AJ8" s="6">
        <f t="shared" si="0"/>
        <v>0</v>
      </c>
      <c r="AK8" s="7"/>
      <c r="AL8" s="8"/>
      <c r="AM8" s="8"/>
      <c r="AN8" s="8"/>
      <c r="AO8" s="9"/>
      <c r="AP8" s="7"/>
      <c r="AQ8" s="8"/>
      <c r="AR8" s="8"/>
      <c r="AS8" s="8"/>
      <c r="AT8" s="831"/>
      <c r="AU8" s="7"/>
      <c r="AV8" s="8"/>
      <c r="AW8" s="8"/>
      <c r="AX8" s="8"/>
      <c r="AY8" s="8"/>
      <c r="AZ8" s="8"/>
      <c r="BA8" s="8"/>
      <c r="BB8" s="8"/>
      <c r="BC8" s="8"/>
      <c r="BD8" s="831"/>
      <c r="BE8" s="7"/>
      <c r="BF8" s="8"/>
      <c r="BG8" s="8"/>
      <c r="BH8" s="8"/>
      <c r="BI8" s="9"/>
      <c r="BJ8" s="832">
        <v>500</v>
      </c>
      <c r="BK8" s="10"/>
      <c r="BL8" s="10"/>
      <c r="BM8" s="10"/>
      <c r="BN8" s="6">
        <f t="shared" si="1"/>
        <v>500</v>
      </c>
      <c r="BO8" s="7"/>
      <c r="BP8" s="8"/>
      <c r="BQ8" s="8"/>
      <c r="BR8" s="8"/>
      <c r="BS8" s="9"/>
      <c r="BT8" s="46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31"/>
      <c r="CI8" s="7"/>
      <c r="CJ8" s="8"/>
      <c r="CK8" s="8"/>
      <c r="CL8" s="8"/>
      <c r="CM8" s="9"/>
      <c r="CN8" s="53"/>
      <c r="CO8" s="8"/>
      <c r="CP8" s="8"/>
      <c r="CQ8" s="8"/>
      <c r="CR8" s="9"/>
      <c r="CS8" s="46"/>
      <c r="CT8" s="8"/>
      <c r="CU8" s="1265"/>
      <c r="CV8" s="1265"/>
      <c r="CW8" s="1266"/>
      <c r="CX8" s="1267"/>
      <c r="CY8" s="835"/>
      <c r="CZ8" s="835"/>
      <c r="DA8" s="835"/>
      <c r="DB8" s="1126"/>
      <c r="DC8" s="1124"/>
      <c r="DD8" s="836"/>
      <c r="DE8" s="836"/>
      <c r="DF8" s="836"/>
      <c r="DG8" s="1129"/>
      <c r="DH8" s="46"/>
      <c r="DI8" s="8"/>
      <c r="DJ8" s="8"/>
      <c r="DK8" s="8"/>
      <c r="DL8" s="6">
        <f t="shared" si="2"/>
        <v>0</v>
      </c>
      <c r="DM8" s="1268"/>
      <c r="DN8" s="836"/>
      <c r="DO8" s="836"/>
      <c r="DP8" s="836"/>
      <c r="DQ8" s="1269"/>
    </row>
    <row r="9" spans="1:121" x14ac:dyDescent="0.3">
      <c r="A9" s="1325" t="s">
        <v>327</v>
      </c>
      <c r="B9" s="944"/>
      <c r="C9" s="214"/>
      <c r="D9" s="214"/>
      <c r="E9" s="214"/>
      <c r="F9" s="215"/>
      <c r="G9" s="7"/>
      <c r="H9" s="8"/>
      <c r="I9" s="8"/>
      <c r="J9" s="8"/>
      <c r="K9" s="9"/>
      <c r="L9" s="46"/>
      <c r="M9" s="8"/>
      <c r="N9" s="8"/>
      <c r="O9" s="8"/>
      <c r="P9" s="9"/>
      <c r="Q9" s="7"/>
      <c r="R9" s="8"/>
      <c r="S9" s="8"/>
      <c r="T9" s="8"/>
      <c r="U9" s="9"/>
      <c r="V9" s="7"/>
      <c r="W9" s="8"/>
      <c r="X9" s="8"/>
      <c r="Y9" s="8"/>
      <c r="Z9" s="9"/>
      <c r="AA9" s="7"/>
      <c r="AB9" s="8"/>
      <c r="AC9" s="8"/>
      <c r="AD9" s="8"/>
      <c r="AE9" s="9"/>
      <c r="AF9" s="7"/>
      <c r="AG9" s="8"/>
      <c r="AH9" s="8"/>
      <c r="AI9" s="8"/>
      <c r="AJ9" s="6">
        <f t="shared" si="0"/>
        <v>0</v>
      </c>
      <c r="AK9" s="7"/>
      <c r="AL9" s="8"/>
      <c r="AM9" s="8"/>
      <c r="AN9" s="8"/>
      <c r="AO9" s="9"/>
      <c r="AP9" s="7"/>
      <c r="AQ9" s="8"/>
      <c r="AR9" s="8"/>
      <c r="AS9" s="8"/>
      <c r="AT9" s="831"/>
      <c r="AU9" s="7"/>
      <c r="AV9" s="8"/>
      <c r="AW9" s="8"/>
      <c r="AX9" s="8"/>
      <c r="AY9" s="8"/>
      <c r="AZ9" s="8"/>
      <c r="BA9" s="8"/>
      <c r="BB9" s="8"/>
      <c r="BC9" s="8"/>
      <c r="BD9" s="831"/>
      <c r="BE9" s="7"/>
      <c r="BF9" s="8"/>
      <c r="BG9" s="8"/>
      <c r="BH9" s="8"/>
      <c r="BI9" s="9"/>
      <c r="BJ9" s="832">
        <v>25</v>
      </c>
      <c r="BK9" s="10"/>
      <c r="BL9" s="10"/>
      <c r="BM9" s="10"/>
      <c r="BN9" s="6">
        <f t="shared" si="1"/>
        <v>25</v>
      </c>
      <c r="BO9" s="7"/>
      <c r="BP9" s="8"/>
      <c r="BQ9" s="8"/>
      <c r="BR9" s="8"/>
      <c r="BS9" s="9"/>
      <c r="BT9" s="46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31"/>
      <c r="CI9" s="7"/>
      <c r="CJ9" s="8"/>
      <c r="CK9" s="8"/>
      <c r="CL9" s="8"/>
      <c r="CM9" s="9"/>
      <c r="CN9" s="53"/>
      <c r="CO9" s="8"/>
      <c r="CP9" s="8"/>
      <c r="CQ9" s="8"/>
      <c r="CR9" s="9"/>
      <c r="CS9" s="46"/>
      <c r="CT9" s="8"/>
      <c r="CU9" s="1265"/>
      <c r="CV9" s="1265"/>
      <c r="CW9" s="1266"/>
      <c r="CX9" s="1267"/>
      <c r="CY9" s="835"/>
      <c r="CZ9" s="835"/>
      <c r="DA9" s="835"/>
      <c r="DB9" s="1126"/>
      <c r="DC9" s="1124"/>
      <c r="DD9" s="836"/>
      <c r="DE9" s="836"/>
      <c r="DF9" s="836"/>
      <c r="DG9" s="1129"/>
      <c r="DH9" s="46"/>
      <c r="DI9" s="8"/>
      <c r="DJ9" s="8"/>
      <c r="DK9" s="8"/>
      <c r="DL9" s="6">
        <f t="shared" si="2"/>
        <v>0</v>
      </c>
      <c r="DM9" s="1268"/>
      <c r="DN9" s="836"/>
      <c r="DO9" s="836"/>
      <c r="DP9" s="836"/>
      <c r="DQ9" s="1269"/>
    </row>
    <row r="10" spans="1:121" x14ac:dyDescent="0.3">
      <c r="A10" s="1325" t="s">
        <v>291</v>
      </c>
      <c r="B10" s="274"/>
      <c r="C10" s="118"/>
      <c r="D10" s="118"/>
      <c r="E10" s="118"/>
      <c r="F10" s="241"/>
      <c r="G10" s="12"/>
      <c r="H10" s="13"/>
      <c r="I10" s="13"/>
      <c r="J10" s="13"/>
      <c r="K10" s="14"/>
      <c r="L10" s="69"/>
      <c r="M10" s="13"/>
      <c r="N10" s="13"/>
      <c r="O10" s="13"/>
      <c r="P10" s="14"/>
      <c r="Q10" s="12"/>
      <c r="R10" s="13"/>
      <c r="S10" s="13"/>
      <c r="T10" s="13"/>
      <c r="U10" s="14"/>
      <c r="V10" s="12"/>
      <c r="W10" s="13"/>
      <c r="X10" s="13"/>
      <c r="Y10" s="13"/>
      <c r="Z10" s="14"/>
      <c r="AA10" s="12"/>
      <c r="AB10" s="13"/>
      <c r="AC10" s="13"/>
      <c r="AD10" s="13"/>
      <c r="AE10" s="14"/>
      <c r="AF10" s="12"/>
      <c r="AG10" s="13"/>
      <c r="AH10" s="13"/>
      <c r="AI10" s="13"/>
      <c r="AJ10" s="6">
        <f t="shared" si="0"/>
        <v>0</v>
      </c>
      <c r="AK10" s="12"/>
      <c r="AL10" s="13"/>
      <c r="AM10" s="13"/>
      <c r="AN10" s="13"/>
      <c r="AO10" s="14"/>
      <c r="AP10" s="12"/>
      <c r="AQ10" s="13"/>
      <c r="AR10" s="13"/>
      <c r="AS10" s="13"/>
      <c r="AT10" s="278"/>
      <c r="AU10" s="12"/>
      <c r="AV10" s="13"/>
      <c r="AW10" s="13"/>
      <c r="AX10" s="13"/>
      <c r="AY10" s="13"/>
      <c r="AZ10" s="13"/>
      <c r="BA10" s="13"/>
      <c r="BB10" s="13"/>
      <c r="BC10" s="13"/>
      <c r="BD10" s="278"/>
      <c r="BE10" s="12"/>
      <c r="BF10" s="13"/>
      <c r="BG10" s="13"/>
      <c r="BH10" s="13"/>
      <c r="BI10" s="14"/>
      <c r="BJ10" s="832"/>
      <c r="BK10" s="10"/>
      <c r="BL10" s="10"/>
      <c r="BM10" s="10"/>
      <c r="BN10" s="6">
        <f t="shared" si="1"/>
        <v>0</v>
      </c>
      <c r="BO10" s="12"/>
      <c r="BP10" s="13"/>
      <c r="BQ10" s="13"/>
      <c r="BR10" s="13"/>
      <c r="BS10" s="14"/>
      <c r="BT10" s="288"/>
      <c r="BU10" s="289">
        <v>0.23</v>
      </c>
      <c r="BV10" s="289"/>
      <c r="BW10" s="289"/>
      <c r="BX10" s="289"/>
      <c r="BY10" s="13"/>
      <c r="BZ10" s="13"/>
      <c r="CA10" s="13"/>
      <c r="CB10" s="13"/>
      <c r="CC10" s="13"/>
      <c r="CD10" s="13"/>
      <c r="CE10" s="13"/>
      <c r="CF10" s="13"/>
      <c r="CG10" s="13"/>
      <c r="CH10" s="278"/>
      <c r="CI10" s="12"/>
      <c r="CJ10" s="13"/>
      <c r="CK10" s="13"/>
      <c r="CL10" s="13"/>
      <c r="CM10" s="14"/>
      <c r="CN10" s="53"/>
      <c r="CO10" s="8"/>
      <c r="CP10" s="8"/>
      <c r="CQ10" s="8"/>
      <c r="CR10" s="9"/>
      <c r="CS10" s="46"/>
      <c r="CT10" s="1265">
        <v>0.54</v>
      </c>
      <c r="CU10" s="1265"/>
      <c r="CV10" s="1265"/>
      <c r="CW10" s="1266">
        <v>0.54</v>
      </c>
      <c r="CX10" s="1267"/>
      <c r="CY10" s="835"/>
      <c r="CZ10" s="835"/>
      <c r="DA10" s="835"/>
      <c r="DB10" s="1126"/>
      <c r="DC10" s="1124"/>
      <c r="DD10" s="836"/>
      <c r="DE10" s="836"/>
      <c r="DF10" s="836"/>
      <c r="DG10" s="1129"/>
      <c r="DH10" s="69"/>
      <c r="DI10" s="13"/>
      <c r="DJ10" s="13"/>
      <c r="DK10" s="13"/>
      <c r="DL10" s="6">
        <f t="shared" si="2"/>
        <v>0</v>
      </c>
      <c r="DM10" s="12"/>
      <c r="DN10" s="13"/>
      <c r="DO10" s="13"/>
      <c r="DP10" s="13"/>
      <c r="DQ10" s="278"/>
    </row>
    <row r="11" spans="1:121" s="277" customFormat="1" ht="13.5" x14ac:dyDescent="0.25">
      <c r="A11" s="1325" t="s">
        <v>328</v>
      </c>
      <c r="B11" s="274">
        <f>B5</f>
        <v>3414.684409</v>
      </c>
      <c r="C11" s="118">
        <f t="shared" ref="C11:F11" si="3">C5</f>
        <v>28.902266000000001</v>
      </c>
      <c r="D11" s="118">
        <f t="shared" si="3"/>
        <v>0</v>
      </c>
      <c r="E11" s="118">
        <f t="shared" si="3"/>
        <v>6325.8164749999996</v>
      </c>
      <c r="F11" s="241">
        <f t="shared" si="3"/>
        <v>9769.4031500000001</v>
      </c>
      <c r="G11" s="12"/>
      <c r="H11" s="13"/>
      <c r="I11" s="13"/>
      <c r="J11" s="13"/>
      <c r="K11" s="14"/>
      <c r="L11" s="69">
        <f t="shared" ref="L11:U11" si="4">L5</f>
        <v>954.22</v>
      </c>
      <c r="M11" s="12">
        <f t="shared" si="4"/>
        <v>0</v>
      </c>
      <c r="N11" s="12">
        <f t="shared" si="4"/>
        <v>141.26</v>
      </c>
      <c r="O11" s="12">
        <f t="shared" si="4"/>
        <v>3903.44</v>
      </c>
      <c r="P11" s="12">
        <f t="shared" si="4"/>
        <v>4998.92</v>
      </c>
      <c r="Q11" s="12">
        <f t="shared" si="4"/>
        <v>6435.95</v>
      </c>
      <c r="R11" s="12">
        <f t="shared" si="4"/>
        <v>20.83</v>
      </c>
      <c r="S11" s="12">
        <f t="shared" si="4"/>
        <v>1643.24</v>
      </c>
      <c r="T11" s="12">
        <f t="shared" si="4"/>
        <v>17541.009999999998</v>
      </c>
      <c r="U11" s="12">
        <f t="shared" si="4"/>
        <v>25641.03</v>
      </c>
      <c r="V11" s="12">
        <f>V5</f>
        <v>1192.28</v>
      </c>
      <c r="W11" s="12">
        <f t="shared" ref="W11:Z11" si="5">W5</f>
        <v>0</v>
      </c>
      <c r="X11" s="12">
        <f t="shared" si="5"/>
        <v>59.19</v>
      </c>
      <c r="Y11" s="12">
        <f>Y5</f>
        <v>2538.19</v>
      </c>
      <c r="Z11" s="12">
        <f t="shared" si="5"/>
        <v>3789.66</v>
      </c>
      <c r="AA11" s="12">
        <f>AA5</f>
        <v>1217.6099999999999</v>
      </c>
      <c r="AB11" s="12"/>
      <c r="AC11" s="12">
        <f t="shared" ref="AC11:AE11" si="6">AC5</f>
        <v>81.06</v>
      </c>
      <c r="AD11" s="12">
        <f t="shared" si="6"/>
        <v>2226.54</v>
      </c>
      <c r="AE11" s="12">
        <f t="shared" si="6"/>
        <v>3525.21</v>
      </c>
      <c r="AF11" s="12">
        <v>846.17989999999998</v>
      </c>
      <c r="AG11" s="13"/>
      <c r="AH11" s="13">
        <v>0.65</v>
      </c>
      <c r="AI11" s="13">
        <v>1598.6681000000001</v>
      </c>
      <c r="AJ11" s="276">
        <f t="shared" si="0"/>
        <v>2445.498</v>
      </c>
      <c r="AK11" s="12">
        <f>AK5</f>
        <v>40744</v>
      </c>
      <c r="AL11" s="12"/>
      <c r="AM11" s="12">
        <f t="shared" ref="AM11:AO11" si="7">AM5</f>
        <v>34209</v>
      </c>
      <c r="AN11" s="12">
        <f t="shared" si="7"/>
        <v>115695</v>
      </c>
      <c r="AO11" s="12">
        <f t="shared" si="7"/>
        <v>190648</v>
      </c>
      <c r="AP11" s="12">
        <f>AP5</f>
        <v>2099.61</v>
      </c>
      <c r="AQ11" s="12">
        <f t="shared" ref="AQ11:AT11" si="8">AQ5</f>
        <v>341.56</v>
      </c>
      <c r="AR11" s="12">
        <f t="shared" si="8"/>
        <v>6528.81</v>
      </c>
      <c r="AS11" s="12">
        <f t="shared" si="8"/>
        <v>651.63</v>
      </c>
      <c r="AT11" s="12">
        <f t="shared" si="8"/>
        <v>9621.6099999999988</v>
      </c>
      <c r="AU11" s="12">
        <f>AU5</f>
        <v>580.05999999999995</v>
      </c>
      <c r="AV11" s="12">
        <f t="shared" ref="AV11:AY11" si="9">AV5</f>
        <v>0</v>
      </c>
      <c r="AW11" s="12">
        <f t="shared" si="9"/>
        <v>147.09</v>
      </c>
      <c r="AX11" s="12">
        <f t="shared" si="9"/>
        <v>1500.55</v>
      </c>
      <c r="AY11" s="12">
        <f t="shared" si="9"/>
        <v>2227.6999999999998</v>
      </c>
      <c r="AZ11" s="13">
        <f>AZ5</f>
        <v>8835.99</v>
      </c>
      <c r="BA11" s="13">
        <f t="shared" ref="BA11:BD11" si="10">BA5</f>
        <v>0</v>
      </c>
      <c r="BB11" s="13">
        <f t="shared" si="10"/>
        <v>1016.95</v>
      </c>
      <c r="BC11" s="13">
        <f t="shared" si="10"/>
        <v>26556.1</v>
      </c>
      <c r="BD11" s="278">
        <f t="shared" si="10"/>
        <v>36409.040000000001</v>
      </c>
      <c r="BE11" s="12"/>
      <c r="BF11" s="13"/>
      <c r="BG11" s="13"/>
      <c r="BH11" s="13"/>
      <c r="BI11" s="14"/>
      <c r="BJ11" s="12">
        <v>149836.94</v>
      </c>
      <c r="BK11" s="13">
        <f>BK5</f>
        <v>325.02999999999997</v>
      </c>
      <c r="BL11" s="13">
        <f>BL5</f>
        <v>46735.83</v>
      </c>
      <c r="BM11" s="13">
        <f>BM5</f>
        <v>338146.85</v>
      </c>
      <c r="BN11" s="6">
        <f t="shared" si="1"/>
        <v>535044.64999999991</v>
      </c>
      <c r="BO11" s="12"/>
      <c r="BP11" s="13"/>
      <c r="BQ11" s="13"/>
      <c r="BR11" s="13"/>
      <c r="BS11" s="14">
        <f>BS5</f>
        <v>2102.8566000000001</v>
      </c>
      <c r="BT11" s="69">
        <f>BT5</f>
        <v>2255.4</v>
      </c>
      <c r="BU11" s="13">
        <f t="shared" ref="BU11:CC11" si="11">BU5</f>
        <v>57.43</v>
      </c>
      <c r="BV11" s="13">
        <f t="shared" si="11"/>
        <v>141.4</v>
      </c>
      <c r="BW11" s="13">
        <f t="shared" si="11"/>
        <v>11416.91</v>
      </c>
      <c r="BX11" s="13">
        <f>BX5</f>
        <v>13871.14</v>
      </c>
      <c r="BY11" s="13">
        <f t="shared" si="11"/>
        <v>8450</v>
      </c>
      <c r="BZ11" s="13">
        <f t="shared" si="11"/>
        <v>0</v>
      </c>
      <c r="CA11" s="13">
        <f t="shared" si="11"/>
        <v>255</v>
      </c>
      <c r="CB11" s="13">
        <f t="shared" si="11"/>
        <v>29999</v>
      </c>
      <c r="CC11" s="13">
        <f t="shared" si="11"/>
        <v>38704</v>
      </c>
      <c r="CD11" s="13">
        <f>CD5</f>
        <v>5420.1296000000002</v>
      </c>
      <c r="CE11" s="13"/>
      <c r="CF11" s="13"/>
      <c r="CG11" s="13">
        <f t="shared" ref="CG11:CH11" si="12">CG5</f>
        <v>7239.16</v>
      </c>
      <c r="CH11" s="13">
        <f t="shared" si="12"/>
        <v>12659.2896</v>
      </c>
      <c r="CI11" s="12">
        <f>CI5</f>
        <v>3034.0585999999998</v>
      </c>
      <c r="CJ11" s="12"/>
      <c r="CK11" s="12">
        <f t="shared" ref="CK11:CM11" si="13">CK5</f>
        <v>156.33500000000001</v>
      </c>
      <c r="CL11" s="12">
        <f t="shared" si="13"/>
        <v>9896.0953000000009</v>
      </c>
      <c r="CM11" s="12">
        <f t="shared" si="13"/>
        <v>13086.4889</v>
      </c>
      <c r="CN11" s="1296"/>
      <c r="CO11" s="13"/>
      <c r="CP11" s="13"/>
      <c r="CQ11" s="13"/>
      <c r="CR11" s="14"/>
      <c r="CS11" s="1297">
        <v>1078868.03</v>
      </c>
      <c r="CT11" s="1298">
        <v>171.7688</v>
      </c>
      <c r="CU11" s="1298">
        <v>2732.9286000000002</v>
      </c>
      <c r="CV11" s="1298">
        <v>25379.5452</v>
      </c>
      <c r="CW11" s="1299">
        <v>39072.923000000003</v>
      </c>
      <c r="CX11" s="281">
        <f>CX5</f>
        <v>840.34</v>
      </c>
      <c r="CY11" s="281"/>
      <c r="CZ11" s="281">
        <f t="shared" ref="CZ11:DB11" si="14">CZ5</f>
        <v>51.71</v>
      </c>
      <c r="DA11" s="281">
        <f t="shared" si="14"/>
        <v>2022.15</v>
      </c>
      <c r="DB11" s="281">
        <f t="shared" si="14"/>
        <v>2914.2000000000003</v>
      </c>
      <c r="DC11" s="1300">
        <f>DC5</f>
        <v>859</v>
      </c>
      <c r="DD11" s="1300">
        <f t="shared" ref="DD11:DG11" si="15">DD5</f>
        <v>0</v>
      </c>
      <c r="DE11" s="1300">
        <f t="shared" si="15"/>
        <v>210.7</v>
      </c>
      <c r="DF11" s="1300">
        <f t="shared" si="15"/>
        <v>2679.7</v>
      </c>
      <c r="DG11" s="1300">
        <f t="shared" si="15"/>
        <v>3749.3999999999996</v>
      </c>
      <c r="DH11" s="69"/>
      <c r="DI11" s="13"/>
      <c r="DJ11" s="13"/>
      <c r="DK11" s="13"/>
      <c r="DL11" s="6">
        <f t="shared" si="2"/>
        <v>0</v>
      </c>
      <c r="DM11" s="284"/>
      <c r="DN11" s="285"/>
      <c r="DO11" s="285"/>
      <c r="DP11" s="285"/>
      <c r="DQ11" s="286"/>
    </row>
    <row r="12" spans="1:121" x14ac:dyDescent="0.3">
      <c r="A12" s="1325" t="s">
        <v>329</v>
      </c>
      <c r="B12" s="944"/>
      <c r="C12" s="214"/>
      <c r="D12" s="214"/>
      <c r="E12" s="214"/>
      <c r="F12" s="215"/>
      <c r="G12" s="7"/>
      <c r="H12" s="8"/>
      <c r="I12" s="8"/>
      <c r="J12" s="8"/>
      <c r="K12" s="9"/>
      <c r="L12" s="46"/>
      <c r="M12" s="8"/>
      <c r="N12" s="8"/>
      <c r="O12" s="8"/>
      <c r="P12" s="9"/>
      <c r="Q12" s="7"/>
      <c r="R12" s="8"/>
      <c r="S12" s="8"/>
      <c r="T12" s="8"/>
      <c r="U12" s="9"/>
      <c r="V12" s="7"/>
      <c r="W12" s="8"/>
      <c r="X12" s="8"/>
      <c r="Y12" s="8"/>
      <c r="Z12" s="9"/>
      <c r="AA12" s="7"/>
      <c r="AB12" s="8"/>
      <c r="AC12" s="8"/>
      <c r="AD12" s="8"/>
      <c r="AE12" s="9"/>
      <c r="AF12" s="7">
        <v>36.825000000000003</v>
      </c>
      <c r="AG12" s="8"/>
      <c r="AH12" s="8"/>
      <c r="AI12" s="8"/>
      <c r="AJ12" s="276">
        <f t="shared" si="0"/>
        <v>36.825000000000003</v>
      </c>
      <c r="AK12" s="7"/>
      <c r="AL12" s="8"/>
      <c r="AM12" s="8"/>
      <c r="AN12" s="8"/>
      <c r="AO12" s="9"/>
      <c r="AP12" s="7"/>
      <c r="AQ12" s="8"/>
      <c r="AR12" s="8"/>
      <c r="AS12" s="8"/>
      <c r="AT12" s="831"/>
      <c r="AU12" s="7"/>
      <c r="AV12" s="8"/>
      <c r="AW12" s="8"/>
      <c r="AX12" s="8"/>
      <c r="AY12" s="8"/>
      <c r="AZ12" s="8"/>
      <c r="BA12" s="8"/>
      <c r="BB12" s="8"/>
      <c r="BC12" s="8"/>
      <c r="BD12" s="831"/>
      <c r="BE12" s="7"/>
      <c r="BF12" s="8"/>
      <c r="BG12" s="8"/>
      <c r="BH12" s="8"/>
      <c r="BI12" s="9"/>
      <c r="BJ12" s="7">
        <v>1500</v>
      </c>
      <c r="BK12" s="8"/>
      <c r="BL12" s="8"/>
      <c r="BM12" s="8"/>
      <c r="BN12" s="9">
        <v>1500</v>
      </c>
      <c r="BO12" s="7"/>
      <c r="BP12" s="8"/>
      <c r="BQ12" s="8"/>
      <c r="BR12" s="8"/>
      <c r="BS12" s="9"/>
      <c r="BT12" s="46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31"/>
      <c r="CI12" s="7"/>
      <c r="CJ12" s="8"/>
      <c r="CK12" s="8"/>
      <c r="CL12" s="8"/>
      <c r="CM12" s="9"/>
      <c r="CN12" s="53"/>
      <c r="CO12" s="8"/>
      <c r="CP12" s="8"/>
      <c r="CQ12" s="8"/>
      <c r="CR12" s="9"/>
      <c r="CS12" s="40"/>
      <c r="CT12" s="41"/>
      <c r="CU12" s="41"/>
      <c r="CV12" s="41"/>
      <c r="CW12" s="42"/>
      <c r="CX12" s="1267"/>
      <c r="CY12" s="835"/>
      <c r="CZ12" s="835"/>
      <c r="DA12" s="835"/>
      <c r="DB12" s="1126"/>
      <c r="DC12" s="1124"/>
      <c r="DD12" s="836"/>
      <c r="DE12" s="836"/>
      <c r="DF12" s="836"/>
      <c r="DG12" s="1129"/>
      <c r="DH12" s="46"/>
      <c r="DI12" s="8"/>
      <c r="DJ12" s="8"/>
      <c r="DK12" s="8"/>
      <c r="DL12" s="6">
        <f t="shared" si="2"/>
        <v>0</v>
      </c>
      <c r="DM12" s="1268"/>
      <c r="DN12" s="836"/>
      <c r="DO12" s="836"/>
      <c r="DP12" s="836"/>
      <c r="DQ12" s="1269"/>
    </row>
    <row r="13" spans="1:121" x14ac:dyDescent="0.3">
      <c r="A13" s="1325" t="s">
        <v>330</v>
      </c>
      <c r="B13" s="944"/>
      <c r="C13" s="214"/>
      <c r="D13" s="214"/>
      <c r="E13" s="214"/>
      <c r="F13" s="215"/>
      <c r="G13" s="7"/>
      <c r="H13" s="8"/>
      <c r="I13" s="8"/>
      <c r="J13" s="8"/>
      <c r="K13" s="9"/>
      <c r="L13" s="46"/>
      <c r="M13" s="8"/>
      <c r="N13" s="8"/>
      <c r="O13" s="8"/>
      <c r="P13" s="9"/>
      <c r="Q13" s="7"/>
      <c r="R13" s="8"/>
      <c r="S13" s="8"/>
      <c r="T13" s="8"/>
      <c r="U13" s="9"/>
      <c r="V13" s="7"/>
      <c r="W13" s="8"/>
      <c r="X13" s="8"/>
      <c r="Y13" s="8"/>
      <c r="Z13" s="9"/>
      <c r="AA13" s="7"/>
      <c r="AB13" s="8"/>
      <c r="AC13" s="8"/>
      <c r="AD13" s="8"/>
      <c r="AE13" s="9"/>
      <c r="AF13" s="1270">
        <v>4.3499999999999997E-2</v>
      </c>
      <c r="AG13" s="1271"/>
      <c r="AH13" s="1271"/>
      <c r="AI13" s="1271"/>
      <c r="AJ13" s="1272">
        <v>1.5100000000000001E-2</v>
      </c>
      <c r="AK13" s="7"/>
      <c r="AL13" s="8"/>
      <c r="AM13" s="8"/>
      <c r="AN13" s="8"/>
      <c r="AO13" s="9"/>
      <c r="AP13" s="7"/>
      <c r="AQ13" s="8"/>
      <c r="AR13" s="8"/>
      <c r="AS13" s="8"/>
      <c r="AT13" s="831"/>
      <c r="AU13" s="7"/>
      <c r="AV13" s="8"/>
      <c r="AW13" s="8"/>
      <c r="AX13" s="8"/>
      <c r="AY13" s="8"/>
      <c r="AZ13" s="8"/>
      <c r="BA13" s="8"/>
      <c r="BB13" s="8"/>
      <c r="BC13" s="8"/>
      <c r="BD13" s="831"/>
      <c r="BE13" s="7"/>
      <c r="BF13" s="8"/>
      <c r="BG13" s="8"/>
      <c r="BH13" s="8"/>
      <c r="BI13" s="9"/>
      <c r="BJ13" s="1270">
        <v>0.01</v>
      </c>
      <c r="BK13" s="1271"/>
      <c r="BL13" s="1271"/>
      <c r="BM13" s="1271"/>
      <c r="BN13" s="1276">
        <v>2.8E-3</v>
      </c>
      <c r="BO13" s="7"/>
      <c r="BP13" s="8"/>
      <c r="BQ13" s="8"/>
      <c r="BR13" s="8"/>
      <c r="BS13" s="9"/>
      <c r="BT13" s="46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31"/>
      <c r="CI13" s="7"/>
      <c r="CJ13" s="8"/>
      <c r="CK13" s="8"/>
      <c r="CL13" s="8"/>
      <c r="CM13" s="9"/>
      <c r="CN13" s="53"/>
      <c r="CO13" s="8"/>
      <c r="CP13" s="8"/>
      <c r="CQ13" s="8"/>
      <c r="CR13" s="9"/>
      <c r="CS13" s="40"/>
      <c r="CT13" s="41"/>
      <c r="CU13" s="41"/>
      <c r="CV13" s="41"/>
      <c r="CW13" s="42"/>
      <c r="CX13" s="1267"/>
      <c r="CY13" s="835"/>
      <c r="CZ13" s="835"/>
      <c r="DA13" s="835"/>
      <c r="DB13" s="1126"/>
      <c r="DC13" s="1124"/>
      <c r="DD13" s="836"/>
      <c r="DE13" s="836"/>
      <c r="DF13" s="836"/>
      <c r="DG13" s="1129"/>
      <c r="DH13" s="46"/>
      <c r="DI13" s="8"/>
      <c r="DJ13" s="8"/>
      <c r="DK13" s="8"/>
      <c r="DL13" s="6">
        <f t="shared" si="2"/>
        <v>0</v>
      </c>
      <c r="DM13" s="1268"/>
      <c r="DN13" s="836"/>
      <c r="DO13" s="836"/>
      <c r="DP13" s="836"/>
      <c r="DQ13" s="1269"/>
    </row>
    <row r="14" spans="1:121" ht="15" thickBot="1" x14ac:dyDescent="0.35">
      <c r="A14" s="1326" t="s">
        <v>292</v>
      </c>
      <c r="B14" s="1323"/>
      <c r="C14" s="1277"/>
      <c r="D14" s="1277"/>
      <c r="E14" s="1277"/>
      <c r="F14" s="1311"/>
      <c r="G14" s="1278"/>
      <c r="H14" s="18"/>
      <c r="I14" s="18"/>
      <c r="J14" s="18"/>
      <c r="K14" s="1279"/>
      <c r="L14" s="1281"/>
      <c r="M14" s="18"/>
      <c r="N14" s="18"/>
      <c r="O14" s="18"/>
      <c r="P14" s="1279"/>
      <c r="Q14" s="1278"/>
      <c r="R14" s="18"/>
      <c r="S14" s="18"/>
      <c r="T14" s="18"/>
      <c r="U14" s="1279"/>
      <c r="V14" s="1278"/>
      <c r="W14" s="18"/>
      <c r="X14" s="18"/>
      <c r="Y14" s="18"/>
      <c r="Z14" s="1279"/>
      <c r="AA14" s="1278"/>
      <c r="AB14" s="18"/>
      <c r="AC14" s="18"/>
      <c r="AD14" s="18"/>
      <c r="AE14" s="1279"/>
      <c r="AF14" s="1278">
        <v>12.275</v>
      </c>
      <c r="AG14" s="18"/>
      <c r="AH14" s="18"/>
      <c r="AI14" s="18"/>
      <c r="AJ14" s="6">
        <f t="shared" si="0"/>
        <v>12.275</v>
      </c>
      <c r="AK14" s="1278"/>
      <c r="AL14" s="18"/>
      <c r="AM14" s="18"/>
      <c r="AN14" s="18"/>
      <c r="AO14" s="1279"/>
      <c r="AP14" s="1278"/>
      <c r="AQ14" s="18"/>
      <c r="AR14" s="18"/>
      <c r="AS14" s="18"/>
      <c r="AT14" s="1280"/>
      <c r="AU14" s="1278"/>
      <c r="AV14" s="18"/>
      <c r="AW14" s="18"/>
      <c r="AX14" s="18"/>
      <c r="AY14" s="18"/>
      <c r="AZ14" s="18"/>
      <c r="BA14" s="18"/>
      <c r="BB14" s="18"/>
      <c r="BC14" s="18"/>
      <c r="BD14" s="1280"/>
      <c r="BE14" s="1278"/>
      <c r="BF14" s="18"/>
      <c r="BG14" s="18"/>
      <c r="BH14" s="18"/>
      <c r="BI14" s="1279"/>
      <c r="BJ14" s="1278"/>
      <c r="BK14" s="18"/>
      <c r="BL14" s="18"/>
      <c r="BM14" s="18"/>
      <c r="BN14" s="1279">
        <v>0</v>
      </c>
      <c r="BO14" s="1278"/>
      <c r="BP14" s="18"/>
      <c r="BQ14" s="18"/>
      <c r="BR14" s="18"/>
      <c r="BS14" s="1279"/>
      <c r="BT14" s="1281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280"/>
      <c r="CI14" s="1278"/>
      <c r="CJ14" s="18"/>
      <c r="CK14" s="18"/>
      <c r="CL14" s="18"/>
      <c r="CM14" s="1279"/>
      <c r="CN14" s="194"/>
      <c r="CO14" s="18"/>
      <c r="CP14" s="18"/>
      <c r="CQ14" s="18"/>
      <c r="CR14" s="1279"/>
      <c r="CS14" s="1282"/>
      <c r="CT14" s="1283"/>
      <c r="CU14" s="1283"/>
      <c r="CV14" s="1283"/>
      <c r="CW14" s="1284"/>
      <c r="CX14" s="1285"/>
      <c r="CY14" s="1286"/>
      <c r="CZ14" s="1286"/>
      <c r="DA14" s="1286"/>
      <c r="DB14" s="1287"/>
      <c r="DC14" s="1132"/>
      <c r="DD14" s="1133"/>
      <c r="DE14" s="1133"/>
      <c r="DF14" s="1133"/>
      <c r="DG14" s="1134"/>
      <c r="DH14" s="1281"/>
      <c r="DI14" s="18"/>
      <c r="DJ14" s="18"/>
      <c r="DK14" s="18"/>
      <c r="DL14" s="6">
        <f t="shared" si="2"/>
        <v>0</v>
      </c>
      <c r="DM14" s="1288"/>
      <c r="DN14" s="1133"/>
      <c r="DO14" s="1133"/>
      <c r="DP14" s="1133"/>
      <c r="DQ14" s="1289"/>
    </row>
  </sheetData>
  <mergeCells count="27">
    <mergeCell ref="BJ3:BN3"/>
    <mergeCell ref="BO3:BS3"/>
    <mergeCell ref="BT3:BX3"/>
    <mergeCell ref="BY3:CC3"/>
    <mergeCell ref="DM3:DQ3"/>
    <mergeCell ref="CI3:CM3"/>
    <mergeCell ref="CN3:CR3"/>
    <mergeCell ref="CS3:CW3"/>
    <mergeCell ref="CX3:DB3"/>
    <mergeCell ref="DC3:DG3"/>
    <mergeCell ref="DH3:DL3"/>
    <mergeCell ref="CD3:CH3"/>
    <mergeCell ref="A1:DQ1"/>
    <mergeCell ref="A2:DQ2"/>
    <mergeCell ref="A3:A4"/>
    <mergeCell ref="B3:F3"/>
    <mergeCell ref="G3:K3"/>
    <mergeCell ref="L3:P3"/>
    <mergeCell ref="Q3:U3"/>
    <mergeCell ref="V3:Z3"/>
    <mergeCell ref="AA3:AE3"/>
    <mergeCell ref="AF3:AJ3"/>
    <mergeCell ref="AP3:AT3"/>
    <mergeCell ref="AU3:AY3"/>
    <mergeCell ref="AZ3:BD3"/>
    <mergeCell ref="AK3:AO3"/>
    <mergeCell ref="BE3:B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L2</vt:lpstr>
      <vt:lpstr>L3</vt:lpstr>
      <vt:lpstr>L4</vt:lpstr>
      <vt:lpstr>L5</vt:lpstr>
      <vt:lpstr>L6</vt:lpstr>
      <vt:lpstr>L7</vt:lpstr>
      <vt:lpstr>L16</vt:lpstr>
      <vt:lpstr>L32</vt:lpstr>
      <vt:lpstr>L33</vt:lpstr>
      <vt:lpstr>L37FPI</vt:lpstr>
      <vt:lpstr>L37Lives</vt:lpstr>
      <vt:lpstr>L38 FPI</vt:lpstr>
      <vt:lpstr>L38 NOP</vt:lpstr>
      <vt:lpstr>L39</vt:lpstr>
      <vt:lpstr>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dcterms:created xsi:type="dcterms:W3CDTF">2019-02-21T06:27:16Z</dcterms:created>
  <dcterms:modified xsi:type="dcterms:W3CDTF">2019-03-29T03:58:02Z</dcterms:modified>
</cp:coreProperties>
</file>